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BP-Alliage" sheetId="4" r:id="rId1"/>
    <sheet name="Synthèse" sheetId="8" r:id="rId2"/>
    <sheet name="Chapitre 2" sheetId="2" r:id="rId3"/>
    <sheet name="Chapitre 3" sheetId="5" r:id="rId4"/>
    <sheet name="Chapitre 4" sheetId="6" r:id="rId5"/>
    <sheet name="Chapitre 5&amp;6" sheetId="7" r:id="rId6"/>
  </sheets>
  <definedNames>
    <definedName name="source">'BP-Alliage'!$B$5:$S$95</definedName>
    <definedName name="_xlnm.Print_Area" localSheetId="2">'Chapitre 2'!$A$2:$H$46</definedName>
    <definedName name="_xlnm.Print_Area" localSheetId="3">'Chapitre 3'!$A$2:$H$46</definedName>
    <definedName name="_xlnm.Print_Area" localSheetId="4">'Chapitre 4'!$A$2:$I$46</definedName>
    <definedName name="_xlnm.Print_Area" localSheetId="5">'Chapitre 5&amp;6'!$A$2:$I$55</definedName>
    <definedName name="_xlnm.Print_Area" localSheetId="1">Synthèse!$A$2:$I$46</definedName>
  </definedNames>
  <calcPr calcId="145621"/>
  <pivotCaches>
    <pivotCache cacheId="0" r:id="rId7"/>
  </pivotCaches>
</workbook>
</file>

<file path=xl/calcChain.xml><?xml version="1.0" encoding="utf-8"?>
<calcChain xmlns="http://schemas.openxmlformats.org/spreadsheetml/2006/main">
  <c r="J17" i="4" l="1"/>
  <c r="H14" i="4"/>
  <c r="J14" i="4" s="1"/>
  <c r="L14" i="4" s="1"/>
  <c r="N14" i="4" s="1"/>
  <c r="P14" i="4" s="1"/>
  <c r="R14" i="4" s="1"/>
  <c r="F27" i="4"/>
  <c r="I40" i="4" l="1"/>
  <c r="H9" i="4" l="1"/>
  <c r="J9" i="4" s="1"/>
  <c r="L9" i="4" s="1"/>
  <c r="N9" i="4" s="1"/>
  <c r="P9" i="4" s="1"/>
  <c r="R9" i="4" s="1"/>
  <c r="H20" i="4"/>
  <c r="J20" i="4" s="1"/>
  <c r="L20" i="4" s="1"/>
  <c r="N20" i="4" s="1"/>
  <c r="P20" i="4" s="1"/>
  <c r="R20" i="4" s="1"/>
  <c r="H25" i="4"/>
  <c r="J25" i="4" s="1"/>
  <c r="L25" i="4" s="1"/>
  <c r="N25" i="4" s="1"/>
  <c r="P25" i="4" s="1"/>
  <c r="R25" i="4" s="1"/>
  <c r="H24" i="4"/>
  <c r="J24" i="4" s="1"/>
  <c r="L24" i="4" s="1"/>
  <c r="N24" i="4" s="1"/>
  <c r="P24" i="4" s="1"/>
  <c r="R24" i="4" s="1"/>
  <c r="J66" i="4"/>
  <c r="L66" i="4" s="1"/>
  <c r="N66" i="4" s="1"/>
  <c r="P66" i="4" s="1"/>
  <c r="R66" i="4" s="1"/>
  <c r="H65" i="4"/>
  <c r="J65" i="4" s="1"/>
  <c r="L65" i="4" s="1"/>
  <c r="N65" i="4" s="1"/>
  <c r="P65" i="4" s="1"/>
  <c r="R65" i="4" s="1"/>
  <c r="Q92" i="4" l="1"/>
  <c r="M92" i="4"/>
  <c r="I92" i="4"/>
  <c r="F92" i="4"/>
  <c r="G92" i="4" s="1"/>
  <c r="E92" i="4"/>
  <c r="D92" i="4"/>
  <c r="D93" i="4" s="1"/>
  <c r="C92" i="4"/>
  <c r="H91" i="4"/>
  <c r="H92" i="4" s="1"/>
  <c r="Q90" i="4"/>
  <c r="M90" i="4"/>
  <c r="I90" i="4"/>
  <c r="F90" i="4"/>
  <c r="E90" i="4"/>
  <c r="C90" i="4"/>
  <c r="H89" i="4"/>
  <c r="H90" i="4" s="1"/>
  <c r="D88" i="4"/>
  <c r="C88" i="4"/>
  <c r="Q87" i="4"/>
  <c r="M87" i="4"/>
  <c r="I87" i="4"/>
  <c r="F87" i="4"/>
  <c r="G87" i="4" s="1"/>
  <c r="H86" i="4"/>
  <c r="J86" i="4" s="1"/>
  <c r="Q85" i="4"/>
  <c r="M85" i="4"/>
  <c r="I85" i="4"/>
  <c r="F85" i="4"/>
  <c r="G85" i="4" s="1"/>
  <c r="E85" i="4"/>
  <c r="E88" i="4" s="1"/>
  <c r="H84" i="4"/>
  <c r="H85" i="4" s="1"/>
  <c r="E80" i="4"/>
  <c r="D80" i="4"/>
  <c r="C80" i="4"/>
  <c r="Q79" i="4"/>
  <c r="M79" i="4"/>
  <c r="I79" i="4"/>
  <c r="F79" i="4"/>
  <c r="H78" i="4"/>
  <c r="Q77" i="4"/>
  <c r="M77" i="4"/>
  <c r="I77" i="4"/>
  <c r="R76" i="4"/>
  <c r="N76" i="4"/>
  <c r="P76" i="4" s="1"/>
  <c r="J76" i="4"/>
  <c r="L76" i="4" s="1"/>
  <c r="F76" i="4"/>
  <c r="H76" i="4" s="1"/>
  <c r="R75" i="4"/>
  <c r="N75" i="4"/>
  <c r="P75" i="4" s="1"/>
  <c r="J75" i="4"/>
  <c r="L75" i="4" s="1"/>
  <c r="F75" i="4"/>
  <c r="H75" i="4" s="1"/>
  <c r="R74" i="4"/>
  <c r="N74" i="4"/>
  <c r="P74" i="4" s="1"/>
  <c r="J74" i="4"/>
  <c r="L74" i="4" s="1"/>
  <c r="F74" i="4"/>
  <c r="H73" i="4"/>
  <c r="J73" i="4" s="1"/>
  <c r="L73" i="4" s="1"/>
  <c r="N73" i="4" s="1"/>
  <c r="P73" i="4" s="1"/>
  <c r="R73" i="4" s="1"/>
  <c r="F73" i="4"/>
  <c r="H72" i="4"/>
  <c r="J72" i="4" s="1"/>
  <c r="L72" i="4" s="1"/>
  <c r="N72" i="4" s="1"/>
  <c r="P72" i="4" s="1"/>
  <c r="R72" i="4" s="1"/>
  <c r="H71" i="4"/>
  <c r="J71" i="4" s="1"/>
  <c r="L71" i="4" s="1"/>
  <c r="N71" i="4" s="1"/>
  <c r="P71" i="4" s="1"/>
  <c r="R71" i="4" s="1"/>
  <c r="H70" i="4"/>
  <c r="Q69" i="4"/>
  <c r="M69" i="4"/>
  <c r="I69" i="4"/>
  <c r="F69" i="4"/>
  <c r="H68" i="4"/>
  <c r="J68" i="4" s="1"/>
  <c r="L68" i="4" s="1"/>
  <c r="N68" i="4" s="1"/>
  <c r="P68" i="4" s="1"/>
  <c r="R68" i="4" s="1"/>
  <c r="H67" i="4"/>
  <c r="J67" i="4" s="1"/>
  <c r="L67" i="4" s="1"/>
  <c r="N67" i="4" s="1"/>
  <c r="P67" i="4" s="1"/>
  <c r="R67" i="4" s="1"/>
  <c r="H64" i="4"/>
  <c r="J64" i="4" s="1"/>
  <c r="Q63" i="4"/>
  <c r="M63" i="4"/>
  <c r="I63" i="4"/>
  <c r="F63" i="4"/>
  <c r="H62" i="4"/>
  <c r="J62" i="4" s="1"/>
  <c r="L62" i="4" s="1"/>
  <c r="N62" i="4" s="1"/>
  <c r="P62" i="4" s="1"/>
  <c r="R62" i="4" s="1"/>
  <c r="H61" i="4"/>
  <c r="J61" i="4" s="1"/>
  <c r="L61" i="4" s="1"/>
  <c r="N61" i="4" s="1"/>
  <c r="P61" i="4" s="1"/>
  <c r="R61" i="4" s="1"/>
  <c r="H60" i="4"/>
  <c r="J60" i="4" s="1"/>
  <c r="L60" i="4" s="1"/>
  <c r="N60" i="4" s="1"/>
  <c r="P60" i="4" s="1"/>
  <c r="R60" i="4" s="1"/>
  <c r="H59" i="4"/>
  <c r="J59" i="4" s="1"/>
  <c r="L59" i="4" s="1"/>
  <c r="N59" i="4" s="1"/>
  <c r="P59" i="4" s="1"/>
  <c r="R59" i="4" s="1"/>
  <c r="H58" i="4"/>
  <c r="J58" i="4" s="1"/>
  <c r="L58" i="4" s="1"/>
  <c r="N58" i="4" s="1"/>
  <c r="P58" i="4" s="1"/>
  <c r="R58" i="4" s="1"/>
  <c r="H57" i="4"/>
  <c r="J57" i="4" s="1"/>
  <c r="L57" i="4" s="1"/>
  <c r="N57" i="4" s="1"/>
  <c r="P57" i="4" s="1"/>
  <c r="R57" i="4" s="1"/>
  <c r="H56" i="4"/>
  <c r="J56" i="4" s="1"/>
  <c r="Q55" i="4"/>
  <c r="M55" i="4"/>
  <c r="I55" i="4"/>
  <c r="F55" i="4"/>
  <c r="H54" i="4"/>
  <c r="J54" i="4" s="1"/>
  <c r="L54" i="4" s="1"/>
  <c r="N54" i="4" s="1"/>
  <c r="P54" i="4" s="1"/>
  <c r="H53" i="4"/>
  <c r="J53" i="4" s="1"/>
  <c r="L53" i="4" s="1"/>
  <c r="N53" i="4" s="1"/>
  <c r="P53" i="4" s="1"/>
  <c r="R53" i="4" s="1"/>
  <c r="H52" i="4"/>
  <c r="J52" i="4" s="1"/>
  <c r="L52" i="4" s="1"/>
  <c r="N52" i="4" s="1"/>
  <c r="P52" i="4" s="1"/>
  <c r="R52" i="4" s="1"/>
  <c r="H51" i="4"/>
  <c r="E48" i="4"/>
  <c r="D48" i="4"/>
  <c r="C48" i="4"/>
  <c r="H47" i="4"/>
  <c r="J47" i="4" s="1"/>
  <c r="L47" i="4" s="1"/>
  <c r="N47" i="4" s="1"/>
  <c r="P47" i="4" s="1"/>
  <c r="R47" i="4" s="1"/>
  <c r="Q46" i="4"/>
  <c r="M46" i="4"/>
  <c r="R45" i="4"/>
  <c r="N45" i="4"/>
  <c r="P45" i="4" s="1"/>
  <c r="J45" i="4"/>
  <c r="L45" i="4" s="1"/>
  <c r="F45" i="4"/>
  <c r="H45" i="4" s="1"/>
  <c r="N44" i="4"/>
  <c r="P44" i="4" s="1"/>
  <c r="J44" i="4"/>
  <c r="L44" i="4" s="1"/>
  <c r="A44" i="4"/>
  <c r="F44" i="4" s="1"/>
  <c r="H44" i="4" s="1"/>
  <c r="I42" i="4"/>
  <c r="F42" i="4"/>
  <c r="H42" i="4" s="1"/>
  <c r="J42" i="4" s="1"/>
  <c r="L42" i="4" s="1"/>
  <c r="N42" i="4" s="1"/>
  <c r="P42" i="4" s="1"/>
  <c r="R42" i="4" s="1"/>
  <c r="I41" i="4"/>
  <c r="H41" i="4"/>
  <c r="J41" i="4" s="1"/>
  <c r="L41" i="4" s="1"/>
  <c r="N41" i="4" s="1"/>
  <c r="P41" i="4" s="1"/>
  <c r="R41" i="4" s="1"/>
  <c r="F41" i="4"/>
  <c r="I46" i="4"/>
  <c r="F40" i="4"/>
  <c r="F43" i="4" s="1"/>
  <c r="H39" i="4"/>
  <c r="J39" i="4" s="1"/>
  <c r="Q38" i="4"/>
  <c r="M38" i="4"/>
  <c r="I38" i="4"/>
  <c r="H37" i="4"/>
  <c r="J37" i="4" s="1"/>
  <c r="L37" i="4" s="1"/>
  <c r="N37" i="4" s="1"/>
  <c r="P37" i="4" s="1"/>
  <c r="R37" i="4" s="1"/>
  <c r="H36" i="4"/>
  <c r="J36" i="4" s="1"/>
  <c r="L36" i="4" s="1"/>
  <c r="N36" i="4" s="1"/>
  <c r="P36" i="4" s="1"/>
  <c r="R36" i="4" s="1"/>
  <c r="A34" i="4"/>
  <c r="Q33" i="4"/>
  <c r="M33" i="4"/>
  <c r="I33" i="4"/>
  <c r="F33" i="4"/>
  <c r="H32" i="4"/>
  <c r="J32" i="4" s="1"/>
  <c r="L32" i="4" s="1"/>
  <c r="N32" i="4" s="1"/>
  <c r="P32" i="4" s="1"/>
  <c r="R32" i="4" s="1"/>
  <c r="H31" i="4"/>
  <c r="J31" i="4" s="1"/>
  <c r="L31" i="4" s="1"/>
  <c r="N31" i="4" s="1"/>
  <c r="P31" i="4" s="1"/>
  <c r="R31" i="4" s="1"/>
  <c r="H30" i="4"/>
  <c r="E29" i="4"/>
  <c r="D29" i="4"/>
  <c r="C29" i="4"/>
  <c r="Q27" i="4"/>
  <c r="M27" i="4"/>
  <c r="I27" i="4"/>
  <c r="H26" i="4"/>
  <c r="J26" i="4" s="1"/>
  <c r="L26" i="4" s="1"/>
  <c r="N26" i="4" s="1"/>
  <c r="P26" i="4" s="1"/>
  <c r="R26" i="4" s="1"/>
  <c r="Q22" i="4"/>
  <c r="M22" i="4"/>
  <c r="I22" i="4"/>
  <c r="H21" i="4"/>
  <c r="J21" i="4" s="1"/>
  <c r="L21" i="4" s="1"/>
  <c r="N21" i="4" s="1"/>
  <c r="P21" i="4" s="1"/>
  <c r="R21" i="4" s="1"/>
  <c r="H19" i="4"/>
  <c r="L19" i="4" s="1"/>
  <c r="N19" i="4" s="1"/>
  <c r="P19" i="4" s="1"/>
  <c r="R19" i="4" s="1"/>
  <c r="F18" i="4"/>
  <c r="H17" i="4"/>
  <c r="L17" i="4" s="1"/>
  <c r="N17" i="4" s="1"/>
  <c r="N18" i="4" s="1"/>
  <c r="Q16" i="4"/>
  <c r="M16" i="4"/>
  <c r="I16" i="4"/>
  <c r="F16" i="4"/>
  <c r="H15" i="4"/>
  <c r="L15" i="4" s="1"/>
  <c r="N15" i="4" s="1"/>
  <c r="P15" i="4" s="1"/>
  <c r="R15" i="4" s="1"/>
  <c r="H13" i="4"/>
  <c r="J13" i="4" s="1"/>
  <c r="L13" i="4" s="1"/>
  <c r="N13" i="4" s="1"/>
  <c r="P13" i="4" s="1"/>
  <c r="R13" i="4" s="1"/>
  <c r="H12" i="4"/>
  <c r="J12" i="4" s="1"/>
  <c r="L12" i="4" s="1"/>
  <c r="N12" i="4" s="1"/>
  <c r="P12" i="4" s="1"/>
  <c r="R12" i="4" s="1"/>
  <c r="H11" i="4"/>
  <c r="J11" i="4" s="1"/>
  <c r="L11" i="4" s="1"/>
  <c r="N11" i="4" s="1"/>
  <c r="P11" i="4" s="1"/>
  <c r="R11" i="4" s="1"/>
  <c r="H10" i="4"/>
  <c r="H8" i="4"/>
  <c r="L8" i="4" s="1"/>
  <c r="N8" i="4" s="1"/>
  <c r="P8" i="4" s="1"/>
  <c r="R8" i="4" s="1"/>
  <c r="H7" i="4"/>
  <c r="B3" i="4"/>
  <c r="L10" i="4" l="1"/>
  <c r="N10" i="4" s="1"/>
  <c r="P10" i="4" s="1"/>
  <c r="R10" i="4" s="1"/>
  <c r="C49" i="4"/>
  <c r="C50" i="4" s="1"/>
  <c r="D49" i="4"/>
  <c r="D82" i="4" s="1"/>
  <c r="D83" i="4" s="1"/>
  <c r="H27" i="4"/>
  <c r="G29" i="4" s="1"/>
  <c r="C93" i="4"/>
  <c r="F46" i="4"/>
  <c r="H40" i="4"/>
  <c r="J40" i="4" s="1"/>
  <c r="L40" i="4" s="1"/>
  <c r="N40" i="4" s="1"/>
  <c r="P40" i="4" s="1"/>
  <c r="R40" i="4" s="1"/>
  <c r="J91" i="4"/>
  <c r="L91" i="4" s="1"/>
  <c r="L92" i="4" s="1"/>
  <c r="H33" i="4"/>
  <c r="G33" i="4" s="1"/>
  <c r="I48" i="4"/>
  <c r="R44" i="4"/>
  <c r="F34" i="4"/>
  <c r="H34" i="4" s="1"/>
  <c r="Q48" i="4"/>
  <c r="M93" i="4"/>
  <c r="M88" i="4"/>
  <c r="I88" i="4"/>
  <c r="M48" i="4"/>
  <c r="C81" i="4"/>
  <c r="Q88" i="4"/>
  <c r="H18" i="4"/>
  <c r="H22" i="4" s="1"/>
  <c r="J30" i="4"/>
  <c r="J33" i="4" s="1"/>
  <c r="H55" i="4"/>
  <c r="G55" i="4" s="1"/>
  <c r="J23" i="4"/>
  <c r="J27" i="4" s="1"/>
  <c r="J35" i="4" s="1"/>
  <c r="L35" i="4" s="1"/>
  <c r="Q80" i="4"/>
  <c r="E81" i="4"/>
  <c r="E49" i="4"/>
  <c r="E50" i="4" s="1"/>
  <c r="D81" i="4"/>
  <c r="L39" i="4"/>
  <c r="R54" i="4"/>
  <c r="C82" i="4"/>
  <c r="C83" i="4" s="1"/>
  <c r="N34" i="4"/>
  <c r="P18" i="4"/>
  <c r="P17" i="4"/>
  <c r="J18" i="4"/>
  <c r="J22" i="4" s="1"/>
  <c r="H43" i="4"/>
  <c r="J51" i="4"/>
  <c r="E93" i="4"/>
  <c r="Q93" i="4"/>
  <c r="F22" i="4"/>
  <c r="F29" i="4" s="1"/>
  <c r="N22" i="4"/>
  <c r="H35" i="4"/>
  <c r="F77" i="4"/>
  <c r="F80" i="4" s="1"/>
  <c r="I93" i="4"/>
  <c r="H93" i="4"/>
  <c r="J92" i="4"/>
  <c r="F93" i="4"/>
  <c r="G93" i="4" s="1"/>
  <c r="J89" i="4"/>
  <c r="G90" i="4"/>
  <c r="J87" i="4"/>
  <c r="L86" i="4"/>
  <c r="F88" i="4"/>
  <c r="G88" i="4" s="1"/>
  <c r="H87" i="4"/>
  <c r="H88" i="4" s="1"/>
  <c r="J84" i="4"/>
  <c r="J79" i="4"/>
  <c r="L78" i="4"/>
  <c r="H79" i="4"/>
  <c r="G79" i="4" s="1"/>
  <c r="I80" i="4"/>
  <c r="J70" i="4"/>
  <c r="M80" i="4"/>
  <c r="H74" i="4"/>
  <c r="H77" i="4" s="1"/>
  <c r="J16" i="4"/>
  <c r="L7" i="4"/>
  <c r="H16" i="4"/>
  <c r="J69" i="4"/>
  <c r="L64" i="4"/>
  <c r="H69" i="4"/>
  <c r="G69" i="4" s="1"/>
  <c r="L56" i="4"/>
  <c r="J63" i="4"/>
  <c r="H63" i="4"/>
  <c r="D50" i="4" l="1"/>
  <c r="E82" i="4"/>
  <c r="E83" i="4" s="1"/>
  <c r="G27" i="4"/>
  <c r="H46" i="4"/>
  <c r="G46" i="4" s="1"/>
  <c r="L30" i="4"/>
  <c r="N30" i="4" s="1"/>
  <c r="J43" i="4"/>
  <c r="L43" i="4" s="1"/>
  <c r="L46" i="4" s="1"/>
  <c r="N91" i="4"/>
  <c r="N92" i="4" s="1"/>
  <c r="G22" i="4"/>
  <c r="L23" i="4"/>
  <c r="L27" i="4" s="1"/>
  <c r="F38" i="4"/>
  <c r="F48" i="4" s="1"/>
  <c r="F49" i="4" s="1"/>
  <c r="J55" i="4"/>
  <c r="L51" i="4"/>
  <c r="L18" i="4"/>
  <c r="L22" i="4" s="1"/>
  <c r="J34" i="4"/>
  <c r="G77" i="4"/>
  <c r="C94" i="4"/>
  <c r="C95" i="4" s="1"/>
  <c r="R17" i="4"/>
  <c r="P22" i="4"/>
  <c r="O22" i="4" s="1"/>
  <c r="P34" i="4"/>
  <c r="H38" i="4"/>
  <c r="J29" i="4"/>
  <c r="N39" i="4"/>
  <c r="D94" i="4"/>
  <c r="D95" i="4" s="1"/>
  <c r="K92" i="4"/>
  <c r="L89" i="4"/>
  <c r="J90" i="4"/>
  <c r="L87" i="4"/>
  <c r="K87" i="4" s="1"/>
  <c r="N86" i="4"/>
  <c r="J85" i="4"/>
  <c r="L84" i="4"/>
  <c r="L79" i="4"/>
  <c r="K79" i="4" s="1"/>
  <c r="N78" i="4"/>
  <c r="J77" i="4"/>
  <c r="J80" i="4" s="1"/>
  <c r="L70" i="4"/>
  <c r="H29" i="4"/>
  <c r="G16" i="4"/>
  <c r="L16" i="4"/>
  <c r="N7" i="4"/>
  <c r="F81" i="4"/>
  <c r="N64" i="4"/>
  <c r="L69" i="4"/>
  <c r="K69" i="4" s="1"/>
  <c r="H80" i="4"/>
  <c r="G63" i="4"/>
  <c r="L63" i="4"/>
  <c r="N56" i="4"/>
  <c r="P91" i="4" l="1"/>
  <c r="P92" i="4" s="1"/>
  <c r="O92" i="4" s="1"/>
  <c r="E94" i="4"/>
  <c r="E95" i="4" s="1"/>
  <c r="L33" i="4"/>
  <c r="K33" i="4" s="1"/>
  <c r="N23" i="4"/>
  <c r="P23" i="4" s="1"/>
  <c r="J46" i="4"/>
  <c r="K46" i="4" s="1"/>
  <c r="I29" i="4"/>
  <c r="I49" i="4" s="1"/>
  <c r="K22" i="4"/>
  <c r="F50" i="4"/>
  <c r="F82" i="4"/>
  <c r="G38" i="4"/>
  <c r="H48" i="4"/>
  <c r="G48" i="4" s="1"/>
  <c r="L34" i="4"/>
  <c r="L38" i="4" s="1"/>
  <c r="J38" i="4"/>
  <c r="P39" i="4"/>
  <c r="N43" i="4"/>
  <c r="P43" i="4" s="1"/>
  <c r="K27" i="4"/>
  <c r="K29" i="4"/>
  <c r="P30" i="4"/>
  <c r="N33" i="4"/>
  <c r="N51" i="4"/>
  <c r="L55" i="4"/>
  <c r="K55" i="4" s="1"/>
  <c r="R18" i="4"/>
  <c r="R34" i="4" s="1"/>
  <c r="J93" i="4"/>
  <c r="K93" i="4" s="1"/>
  <c r="N89" i="4"/>
  <c r="L90" i="4"/>
  <c r="L93" i="4" s="1"/>
  <c r="P86" i="4"/>
  <c r="N87" i="4"/>
  <c r="J88" i="4"/>
  <c r="K88" i="4" s="1"/>
  <c r="N84" i="4"/>
  <c r="L85" i="4"/>
  <c r="L88" i="4" s="1"/>
  <c r="N79" i="4"/>
  <c r="P78" i="4"/>
  <c r="J81" i="4"/>
  <c r="N70" i="4"/>
  <c r="L77" i="4"/>
  <c r="K77" i="4" s="1"/>
  <c r="N16" i="4"/>
  <c r="P7" i="4"/>
  <c r="L29" i="4"/>
  <c r="K16" i="4"/>
  <c r="N69" i="4"/>
  <c r="P64" i="4"/>
  <c r="H81" i="4"/>
  <c r="G81" i="4" s="1"/>
  <c r="G80" i="4"/>
  <c r="P56" i="4"/>
  <c r="N63" i="4"/>
  <c r="K63" i="4"/>
  <c r="R91" i="4" l="1"/>
  <c r="R92" i="4" s="1"/>
  <c r="L48" i="4"/>
  <c r="L49" i="4" s="1"/>
  <c r="N27" i="4"/>
  <c r="N35" i="4" s="1"/>
  <c r="P35" i="4" s="1"/>
  <c r="P38" i="4" s="1"/>
  <c r="J48" i="4"/>
  <c r="M29" i="4"/>
  <c r="M49" i="4" s="1"/>
  <c r="H49" i="4"/>
  <c r="H50" i="4" s="1"/>
  <c r="G50" i="4" s="1"/>
  <c r="F83" i="4"/>
  <c r="F94" i="4"/>
  <c r="F95" i="4" s="1"/>
  <c r="K85" i="4"/>
  <c r="P33" i="4"/>
  <c r="O33" i="4" s="1"/>
  <c r="R30" i="4"/>
  <c r="R33" i="4" s="1"/>
  <c r="R22" i="4"/>
  <c r="R39" i="4"/>
  <c r="P46" i="4"/>
  <c r="R23" i="4"/>
  <c r="R27" i="4" s="1"/>
  <c r="R35" i="4" s="1"/>
  <c r="R38" i="4" s="1"/>
  <c r="P27" i="4"/>
  <c r="N55" i="4"/>
  <c r="P51" i="4"/>
  <c r="N46" i="4"/>
  <c r="K38" i="4"/>
  <c r="N90" i="4"/>
  <c r="P89" i="4"/>
  <c r="K90" i="4"/>
  <c r="P87" i="4"/>
  <c r="O87" i="4" s="1"/>
  <c r="R86" i="4"/>
  <c r="R87" i="4" s="1"/>
  <c r="N85" i="4"/>
  <c r="P84" i="4"/>
  <c r="R78" i="4"/>
  <c r="R79" i="4" s="1"/>
  <c r="P79" i="4"/>
  <c r="O79" i="4" s="1"/>
  <c r="L80" i="4"/>
  <c r="L81" i="4" s="1"/>
  <c r="K81" i="4" s="1"/>
  <c r="P70" i="4"/>
  <c r="N77" i="4"/>
  <c r="R7" i="4"/>
  <c r="R16" i="4" s="1"/>
  <c r="P16" i="4"/>
  <c r="R64" i="4"/>
  <c r="R69" i="4" s="1"/>
  <c r="P69" i="4"/>
  <c r="O69" i="4" s="1"/>
  <c r="R56" i="4"/>
  <c r="R63" i="4" s="1"/>
  <c r="P63" i="4"/>
  <c r="K48" i="4" l="1"/>
  <c r="N38" i="4"/>
  <c r="O38" i="4" s="1"/>
  <c r="N29" i="4"/>
  <c r="J49" i="4"/>
  <c r="K49" i="4" s="1"/>
  <c r="N80" i="4"/>
  <c r="H82" i="4"/>
  <c r="G49" i="4"/>
  <c r="L50" i="4"/>
  <c r="R51" i="4"/>
  <c r="R55" i="4" s="1"/>
  <c r="P55" i="4"/>
  <c r="O55" i="4" s="1"/>
  <c r="R29" i="4"/>
  <c r="O29" i="4"/>
  <c r="O27" i="4"/>
  <c r="O46" i="4"/>
  <c r="P48" i="4"/>
  <c r="R43" i="4"/>
  <c r="R46" i="4" s="1"/>
  <c r="R48" i="4" s="1"/>
  <c r="R89" i="4"/>
  <c r="R90" i="4" s="1"/>
  <c r="R93" i="4" s="1"/>
  <c r="P90" i="4"/>
  <c r="P93" i="4" s="1"/>
  <c r="N93" i="4"/>
  <c r="O93" i="4" s="1"/>
  <c r="N88" i="4"/>
  <c r="O88" i="4" s="1"/>
  <c r="P85" i="4"/>
  <c r="P88" i="4" s="1"/>
  <c r="R84" i="4"/>
  <c r="R85" i="4" s="1"/>
  <c r="R88" i="4" s="1"/>
  <c r="K80" i="4"/>
  <c r="L82" i="4"/>
  <c r="L94" i="4" s="1"/>
  <c r="P77" i="4"/>
  <c r="O77" i="4" s="1"/>
  <c r="R70" i="4"/>
  <c r="R77" i="4" s="1"/>
  <c r="R80" i="4" s="1"/>
  <c r="P29" i="4"/>
  <c r="O16" i="4"/>
  <c r="O63" i="4"/>
  <c r="N81" i="4" l="1"/>
  <c r="N48" i="4"/>
  <c r="O48" i="4" s="1"/>
  <c r="J82" i="4"/>
  <c r="K82" i="4" s="1"/>
  <c r="J50" i="4"/>
  <c r="K50" i="4" s="1"/>
  <c r="Q29" i="4"/>
  <c r="Q49" i="4" s="1"/>
  <c r="G82" i="4"/>
  <c r="H94" i="4"/>
  <c r="H83" i="4"/>
  <c r="G83" i="4" s="1"/>
  <c r="R49" i="4"/>
  <c r="R50" i="4" s="1"/>
  <c r="P49" i="4"/>
  <c r="P50" i="4" s="1"/>
  <c r="O90" i="4"/>
  <c r="O85" i="4"/>
  <c r="P80" i="4"/>
  <c r="L83" i="4"/>
  <c r="R81" i="4"/>
  <c r="L95" i="4"/>
  <c r="N49" i="4" l="1"/>
  <c r="N50" i="4" s="1"/>
  <c r="O50" i="4" s="1"/>
  <c r="J94" i="4"/>
  <c r="J95" i="4" s="1"/>
  <c r="K95" i="4" s="1"/>
  <c r="J83" i="4"/>
  <c r="K83" i="4" s="1"/>
  <c r="G94" i="4"/>
  <c r="H95" i="4"/>
  <c r="G95" i="4" s="1"/>
  <c r="P82" i="4"/>
  <c r="P94" i="4" s="1"/>
  <c r="R82" i="4"/>
  <c r="R83" i="4" s="1"/>
  <c r="O80" i="4"/>
  <c r="P81" i="4"/>
  <c r="O81" i="4" s="1"/>
  <c r="O49" i="4" l="1"/>
  <c r="N82" i="4"/>
  <c r="N83" i="4" s="1"/>
  <c r="K94" i="4"/>
  <c r="P83" i="4"/>
  <c r="R94" i="4"/>
  <c r="R95" i="4" s="1"/>
  <c r="P95" i="4"/>
  <c r="O82" i="4" l="1"/>
  <c r="O83" i="4"/>
  <c r="N94" i="4"/>
  <c r="N95" i="4" s="1"/>
  <c r="O95" i="4" s="1"/>
  <c r="O94" i="4" l="1"/>
</calcChain>
</file>

<file path=xl/sharedStrings.xml><?xml version="1.0" encoding="utf-8"?>
<sst xmlns="http://schemas.openxmlformats.org/spreadsheetml/2006/main" count="253" uniqueCount="141">
  <si>
    <t>COMPTES CLIENTS - BATIGAM NEW (Communes)</t>
  </si>
  <si>
    <t>COMPTES CLIENTS - DIAG FEDE ESH</t>
  </si>
  <si>
    <t>SOUS TRAITANCE (AUTRE)</t>
  </si>
  <si>
    <t>ABONNEMENT LEMONITEUR</t>
  </si>
  <si>
    <t>ABONNEMENT FRANSEL (SITESECURITE)</t>
  </si>
  <si>
    <t>ABONNEMENT ISLLIGHT</t>
  </si>
  <si>
    <t>ABONNEMENT NETEOR</t>
  </si>
  <si>
    <t>ABONNEMENT DIVERS</t>
  </si>
  <si>
    <t>ABONNEMENT APP (PROTECTION PROG)</t>
  </si>
  <si>
    <t>BUREAUX EDF</t>
  </si>
  <si>
    <t>BUREAUX LOYERS</t>
  </si>
  <si>
    <t>BUREAUX LOYERS CHARGES</t>
  </si>
  <si>
    <t>BUREAUX NETTOYAGE</t>
  </si>
  <si>
    <t>BUREAUX FOURNITURE</t>
  </si>
  <si>
    <t>CHARGES D'EXPLOITATIONS</t>
  </si>
  <si>
    <t>RESULTAT D'EXPLOITATION</t>
  </si>
  <si>
    <t>%  RESULTAT D'EXPLOITATION / CA</t>
  </si>
  <si>
    <t>%  CHARGES D'EXPLOITATION / CA</t>
  </si>
  <si>
    <t>RESULTAT FINANCIER</t>
  </si>
  <si>
    <t>RESULTAT EXCEPTIONNEL</t>
  </si>
  <si>
    <t>%  MARGE  BRUTE / CA</t>
  </si>
  <si>
    <t>RESULTAT COURANT</t>
  </si>
  <si>
    <t>MARGE BRUTE (=CA-FRAIS DIRECTS)</t>
  </si>
  <si>
    <t>CHIFFRE D'AFFAIRES</t>
  </si>
  <si>
    <t>2012/2013</t>
  </si>
  <si>
    <t>Evolution
Intermédiaire</t>
  </si>
  <si>
    <t>2013/2014</t>
  </si>
  <si>
    <t>%  RESULTAT COURANT / CA</t>
  </si>
  <si>
    <t>CHARGES DE PERSONNEL - SALAIRES POLE DIRECTION</t>
  </si>
  <si>
    <t>CHARGES DE PERSONNEL - SALAIRES POLE BATIGAM</t>
  </si>
  <si>
    <t>CHARGES DE PERSONNEL - SALAIRES POLE INFORMATIQUE</t>
  </si>
  <si>
    <t>CHARGES DE PERSONNEL - SALAIRES POLE EXPERTISE</t>
  </si>
  <si>
    <t>COMPTES CLIENTS - DIAG FEDE ESH (Frais) (%CA FEDE)</t>
  </si>
  <si>
    <t>CHARGES DE PERSONNEL - SALAIRE - COTIS SOCIALES (% SALAIRES)</t>
  </si>
  <si>
    <t>DEPLACEMENTS MISSIONS ESH (Refacturables + 19,6%)</t>
  </si>
  <si>
    <t>FRAIS DIRECTS (=SOUS-TRAITANCE+PERSONNEL+FRAIS DEP)</t>
  </si>
  <si>
    <t>DEPLACEMENTS FORMATIONS (% CA FORMATIONS)</t>
  </si>
  <si>
    <t>COMPTES CLIENTS - BATIGAM RECURRENT</t>
  </si>
  <si>
    <t>COMPTES CLIENTS - BATIGAM NEW (CG+CR)</t>
  </si>
  <si>
    <t>COMPTES CLIENTS - BATIGAM NEW (Hotellerie)</t>
  </si>
  <si>
    <t>COMPTES CLIENTS - BATIGAM NEW (Universités)</t>
  </si>
  <si>
    <t>COMPTES CLIENTS - BATIGAM NEW (Coommunauté CA CC CU)</t>
  </si>
  <si>
    <t>COMPTES CLIENTS - BATIGAM NEW (SYNDIC / GD PUBLIC)</t>
  </si>
  <si>
    <t>SOUS TRAITANCE (EXPERTISE)</t>
  </si>
  <si>
    <t>SOUS TRAITANCE (DIAGNOSTIC)</t>
  </si>
  <si>
    <t>Nombre de salariés</t>
  </si>
  <si>
    <t>MATERIEL (/ Salarié * 0,5 (changement tous les deux ans)</t>
  </si>
  <si>
    <t>LOGICIEL(/Salarié * 0,25 (Changement tous les quatre ans)</t>
  </si>
  <si>
    <t>OVH - NOMS DE DOMAINE</t>
  </si>
  <si>
    <t>OVH - HEBERGEMENT</t>
  </si>
  <si>
    <t>LOCAL - SERVEUR - BACKUP (Changement tous les deux ans)</t>
  </si>
  <si>
    <t>PLATEFORME WEB</t>
  </si>
  <si>
    <t>HONORAIRES NETEOR</t>
  </si>
  <si>
    <t>HONORAIRES IMPRESSIONS CLASSEURS</t>
  </si>
  <si>
    <t xml:space="preserve">PRODUIT FINANCIER </t>
  </si>
  <si>
    <t>PRODUIT EXCEPTIONNEL</t>
  </si>
  <si>
    <t>CHARGE EXCEPTIONNELLE</t>
  </si>
  <si>
    <t>CHARGE FINANCIERE</t>
  </si>
  <si>
    <t>CHARGES DE PERSONNEL - TICKETS (/Salarié)</t>
  </si>
  <si>
    <t>CHARGES DE PERSONNEL - MEDECINE TRAV (/Salarié)</t>
  </si>
  <si>
    <t>Perspective
Valeur</t>
  </si>
  <si>
    <t>Perspective
Pourcentage</t>
  </si>
  <si>
    <t xml:space="preserve"> TELEPHONE FIXE / INTERNET</t>
  </si>
  <si>
    <t xml:space="preserve"> TELEPHONE PORTABLES FLOTTE</t>
  </si>
  <si>
    <t>DEPLACEMENTS COMMERCIAL</t>
  </si>
  <si>
    <t>2014/2015</t>
  </si>
  <si>
    <t>2015/1016</t>
  </si>
  <si>
    <t>Chapitre 2.1</t>
  </si>
  <si>
    <t>Chapitre 2.2</t>
  </si>
  <si>
    <t>Chapitre 2.3</t>
  </si>
  <si>
    <t>Chapitre 3.1</t>
  </si>
  <si>
    <t>Chapitre 3.2</t>
  </si>
  <si>
    <t>Chapitre 3.3</t>
  </si>
  <si>
    <t>Chapitre 4.1</t>
  </si>
  <si>
    <t>Chapitre 4.2</t>
  </si>
  <si>
    <t>Chapitre 4.3</t>
  </si>
  <si>
    <t>Chapitre 4.4</t>
  </si>
  <si>
    <t>Chapitre 4.5</t>
  </si>
  <si>
    <t>Chapitre 5.1</t>
  </si>
  <si>
    <t>Chapitre 6.1</t>
  </si>
  <si>
    <t>Chapitre 6.2</t>
  </si>
  <si>
    <t>Chapitre 5.2</t>
  </si>
  <si>
    <t>2009/2010</t>
  </si>
  <si>
    <t>2010/2011</t>
  </si>
  <si>
    <t>2011/2012</t>
  </si>
  <si>
    <t>COUT VEHICULE</t>
  </si>
  <si>
    <t>Chapitre 3.4</t>
  </si>
  <si>
    <t>Chapitre 2.4</t>
  </si>
  <si>
    <t>Elément</t>
  </si>
  <si>
    <t>Index</t>
  </si>
  <si>
    <t>Étiquettes de colonnes</t>
  </si>
  <si>
    <t>Total général</t>
  </si>
  <si>
    <t>10/11</t>
  </si>
  <si>
    <t>09/10</t>
  </si>
  <si>
    <t>11/12</t>
  </si>
  <si>
    <t>12/13</t>
  </si>
  <si>
    <t>13/14</t>
  </si>
  <si>
    <t>14/15</t>
  </si>
  <si>
    <t>15/16</t>
  </si>
  <si>
    <t>Chapitre 2 - Chiffre d'Affaires</t>
  </si>
  <si>
    <t>(Plusieurs éléments)</t>
  </si>
  <si>
    <t>Chapitre 3 - Frais Directs</t>
  </si>
  <si>
    <t>2.1 CA BATIGAM</t>
  </si>
  <si>
    <t>2.2 CA DIAGNOSTIC/EXPERTISE</t>
  </si>
  <si>
    <t>2.3 CA FORMATION</t>
  </si>
  <si>
    <t>2.4 CA ENCOURS DE PRODUCTION</t>
  </si>
  <si>
    <t>3.1 SOUS- TRAITANCE</t>
  </si>
  <si>
    <t>3.2 FRAIS DEPLACEMENT</t>
  </si>
  <si>
    <t>3.3 PERSONNEL</t>
  </si>
  <si>
    <t>3.4 ASSURANCE RC</t>
  </si>
  <si>
    <t>4.1 LOCAUX</t>
  </si>
  <si>
    <t>4.2 CHARGES ADMINISTRATIVES</t>
  </si>
  <si>
    <t>4.3 HONORAIRES</t>
  </si>
  <si>
    <t>4.4 FRAIS INFORMATIQUES &amp; TELEPHONIE</t>
  </si>
  <si>
    <t>4.5 DOTATIONS AMORTISSEMENTS</t>
  </si>
  <si>
    <t>5.1 PRODUITS FINANCIERS</t>
  </si>
  <si>
    <t>5.2 CHARGES FINANCIERES</t>
  </si>
  <si>
    <t>6.1 PRODUITS EXCEPTIONNELS</t>
  </si>
  <si>
    <t>6.2 CHARGES EXCEPTIONNELLES</t>
  </si>
  <si>
    <t>Chapitre 3 - Charges d'exploitation</t>
  </si>
  <si>
    <t>Chapitre 5 - Résultats financiers</t>
  </si>
  <si>
    <t>Chapitre 6 - Résultats Exceptionnels</t>
  </si>
  <si>
    <t>Périodes</t>
  </si>
  <si>
    <t>Chapitre Synthèse</t>
  </si>
  <si>
    <t>Rubriques</t>
  </si>
  <si>
    <t>Business Plan</t>
  </si>
  <si>
    <t>Maj :</t>
  </si>
  <si>
    <t>Imp :</t>
  </si>
  <si>
    <t>HONORAIRES Expertise Comptable</t>
  </si>
  <si>
    <t>HONORAIRES Prestations Groupe</t>
  </si>
  <si>
    <t>COMPTES CLIENTS - BATIGAM FORMATIONS EXPERTISE</t>
  </si>
  <si>
    <t>COMPTES CLIENTS - BAILLEURS FORMATIONS TECHNICIENS</t>
  </si>
  <si>
    <t>COMPTES CLIENTS - BAILLEURS FORMATIONS GARDIENS</t>
  </si>
  <si>
    <t>COMPTES CLIENTS - DIAG BAILLEURS (EN DIRECT)</t>
  </si>
  <si>
    <t>COMPTES CLIENTS - DIAG COLLECTIVITES (EPLE)</t>
  </si>
  <si>
    <t>COMPTES CLIENTS - AMO DCE (DIAG+DCE)</t>
  </si>
  <si>
    <t>COMPTES CLIENTS - BATIGAM NEW (EHPAD/Foyers)</t>
  </si>
  <si>
    <t xml:space="preserve">COMPTES CLIENTS - BATIGAM FORMATIONS UTILISATEUR </t>
  </si>
  <si>
    <t>HONORAIRES PLATEFORME INSTITUTIONNELLE / MARKETING</t>
  </si>
  <si>
    <t>COMPTES CLIENTS - BATIGAM NEW DEVELOPPEMENT</t>
  </si>
  <si>
    <r>
      <rPr>
        <b/>
        <sz val="10"/>
        <rFont val="Arial"/>
        <family val="2"/>
      </rPr>
      <t xml:space="preserve">Note sur la version actuelle : </t>
    </r>
    <r>
      <rPr>
        <sz val="10"/>
        <rFont val="Arial"/>
        <family val="2"/>
      </rPr>
      <t xml:space="preserve">
* Les prestations groupe ne sont pas chargées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</si>
</sst>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.0,\k&quot;€&quot;"/>
    <numFmt numFmtId="166" formatCode="_-* #,##0.00\ [$€-1]_-;\-* #,##0.00\ [$€-1]_-;_-* &quot;-&quot;??\ [$€-1]_-"/>
    <numFmt numFmtId="167" formatCode="0.00,&quot;pts&quot;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i/>
      <sz val="8"/>
      <color indexed="18"/>
      <name val="Calibri"/>
      <family val="2"/>
    </font>
    <font>
      <sz val="8"/>
      <color indexed="18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i/>
      <sz val="8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i/>
      <sz val="8"/>
      <color theme="3" tint="0.39997558519241921"/>
      <name val="Calibri"/>
      <family val="2"/>
    </font>
    <font>
      <i/>
      <sz val="8"/>
      <color theme="3" tint="0.39997558519241921"/>
      <name val="Calibri"/>
      <family val="2"/>
    </font>
    <font>
      <b/>
      <i/>
      <sz val="9"/>
      <color theme="3" tint="0.39997558519241921"/>
      <name val="Calibri"/>
      <family val="2"/>
    </font>
    <font>
      <b/>
      <i/>
      <sz val="8"/>
      <color theme="0" tint="-0.499984740745262"/>
      <name val="Calibri"/>
      <family val="2"/>
    </font>
    <font>
      <sz val="8"/>
      <color theme="0" tint="-0.499984740745262"/>
      <name val="Calibri"/>
      <family val="2"/>
    </font>
    <font>
      <b/>
      <sz val="8"/>
      <color theme="0" tint="-0.499984740745262"/>
      <name val="Calibri"/>
      <family val="2"/>
    </font>
    <font>
      <b/>
      <i/>
      <sz val="9"/>
      <color theme="0" tint="-0.499984740745262"/>
      <name val="Calibri"/>
      <family val="2"/>
    </font>
    <font>
      <i/>
      <sz val="8"/>
      <color theme="0" tint="-0.499984740745262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fgColor theme="6" tint="0.39994506668294322"/>
        <bgColor indexed="42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/>
    <xf numFmtId="0" fontId="1" fillId="0" borderId="0"/>
    <xf numFmtId="9" fontId="9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1" applyFont="1" applyAlignment="1" applyProtection="1"/>
    <xf numFmtId="0" fontId="1" fillId="0" borderId="0" xfId="1" applyAlignment="1" applyProtection="1"/>
    <xf numFmtId="0" fontId="1" fillId="0" borderId="0" xfId="1" applyFont="1" applyProtection="1"/>
    <xf numFmtId="164" fontId="1" fillId="0" borderId="0" xfId="1" applyNumberFormat="1" applyFont="1" applyAlignment="1" applyProtection="1"/>
    <xf numFmtId="164" fontId="1" fillId="0" borderId="0" xfId="1" applyNumberFormat="1" applyAlignment="1" applyProtection="1">
      <alignment horizontal="left"/>
    </xf>
    <xf numFmtId="0" fontId="5" fillId="0" borderId="1" xfId="1" applyFont="1" applyFill="1" applyBorder="1" applyAlignment="1" applyProtection="1"/>
    <xf numFmtId="0" fontId="5" fillId="0" borderId="0" xfId="1" applyFont="1" applyFill="1" applyProtection="1"/>
    <xf numFmtId="0" fontId="6" fillId="0" borderId="0" xfId="1" applyFont="1" applyFill="1" applyProtection="1"/>
    <xf numFmtId="0" fontId="6" fillId="3" borderId="1" xfId="1" applyFont="1" applyFill="1" applyBorder="1" applyAlignment="1" applyProtection="1"/>
    <xf numFmtId="0" fontId="6" fillId="3" borderId="2" xfId="1" applyFont="1" applyFill="1" applyBorder="1" applyAlignment="1" applyProtection="1">
      <alignment horizontal="left"/>
    </xf>
    <xf numFmtId="0" fontId="6" fillId="3" borderId="0" xfId="1" applyFont="1" applyFill="1" applyProtection="1"/>
    <xf numFmtId="165" fontId="5" fillId="0" borderId="0" xfId="1" applyNumberFormat="1" applyFont="1" applyFill="1" applyProtection="1"/>
    <xf numFmtId="165" fontId="6" fillId="0" borderId="0" xfId="1" applyNumberFormat="1" applyFont="1" applyFill="1" applyProtection="1"/>
    <xf numFmtId="165" fontId="6" fillId="3" borderId="0" xfId="1" applyNumberFormat="1" applyFont="1" applyFill="1" applyProtection="1"/>
    <xf numFmtId="0" fontId="5" fillId="0" borderId="3" xfId="1" applyFont="1" applyFill="1" applyBorder="1" applyAlignment="1" applyProtection="1"/>
    <xf numFmtId="0" fontId="11" fillId="4" borderId="1" xfId="1" applyFont="1" applyFill="1" applyBorder="1" applyAlignment="1" applyProtection="1"/>
    <xf numFmtId="0" fontId="11" fillId="4" borderId="0" xfId="1" applyFont="1" applyFill="1" applyBorder="1" applyAlignment="1" applyProtection="1"/>
    <xf numFmtId="165" fontId="11" fillId="4" borderId="0" xfId="1" applyNumberFormat="1" applyFont="1" applyFill="1" applyProtection="1"/>
    <xf numFmtId="0" fontId="11" fillId="4" borderId="0" xfId="1" applyFont="1" applyFill="1" applyProtection="1"/>
    <xf numFmtId="0" fontId="12" fillId="4" borderId="0" xfId="1" quotePrefix="1" applyFont="1" applyFill="1" applyBorder="1" applyAlignment="1" applyProtection="1"/>
    <xf numFmtId="10" fontId="12" fillId="4" borderId="0" xfId="1" applyNumberFormat="1" applyFont="1" applyFill="1" applyProtection="1"/>
    <xf numFmtId="0" fontId="13" fillId="5" borderId="0" xfId="1" applyFont="1" applyFill="1" applyBorder="1" applyAlignment="1" applyProtection="1"/>
    <xf numFmtId="0" fontId="3" fillId="2" borderId="4" xfId="1" applyFont="1" applyFill="1" applyBorder="1" applyAlignment="1" applyProtection="1">
      <alignment vertical="center"/>
    </xf>
    <xf numFmtId="0" fontId="4" fillId="2" borderId="4" xfId="1" applyFont="1" applyFill="1" applyBorder="1" applyAlignment="1" applyProtection="1">
      <alignment horizontal="center"/>
    </xf>
    <xf numFmtId="0" fontId="13" fillId="5" borderId="5" xfId="1" applyFont="1" applyFill="1" applyBorder="1" applyAlignment="1" applyProtection="1"/>
    <xf numFmtId="0" fontId="13" fillId="5" borderId="4" xfId="1" applyFont="1" applyFill="1" applyBorder="1" applyAlignment="1" applyProtection="1"/>
    <xf numFmtId="165" fontId="13" fillId="5" borderId="4" xfId="1" applyNumberFormat="1" applyFont="1" applyFill="1" applyBorder="1" applyProtection="1"/>
    <xf numFmtId="0" fontId="13" fillId="5" borderId="4" xfId="1" applyFont="1" applyFill="1" applyBorder="1" applyProtection="1"/>
    <xf numFmtId="0" fontId="3" fillId="2" borderId="4" xfId="1" applyFont="1" applyFill="1" applyBorder="1" applyAlignment="1" applyProtection="1">
      <alignment horizontal="center" vertical="center" wrapText="1"/>
    </xf>
    <xf numFmtId="10" fontId="3" fillId="2" borderId="4" xfId="1" applyNumberFormat="1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 wrapText="1"/>
    </xf>
    <xf numFmtId="165" fontId="13" fillId="5" borderId="0" xfId="1" applyNumberFormat="1" applyFont="1" applyFill="1" applyBorder="1" applyProtection="1"/>
    <xf numFmtId="0" fontId="13" fillId="5" borderId="0" xfId="1" applyFont="1" applyFill="1" applyBorder="1" applyProtection="1"/>
    <xf numFmtId="0" fontId="12" fillId="4" borderId="5" xfId="1" applyFont="1" applyFill="1" applyBorder="1" applyAlignment="1" applyProtection="1"/>
    <xf numFmtId="0" fontId="12" fillId="4" borderId="4" xfId="1" quotePrefix="1" applyFont="1" applyFill="1" applyBorder="1" applyAlignment="1" applyProtection="1"/>
    <xf numFmtId="10" fontId="12" fillId="4" borderId="4" xfId="1" applyNumberFormat="1" applyFont="1" applyFill="1" applyBorder="1" applyProtection="1"/>
    <xf numFmtId="0" fontId="12" fillId="4" borderId="4" xfId="1" applyFont="1" applyFill="1" applyBorder="1" applyProtection="1"/>
    <xf numFmtId="0" fontId="7" fillId="6" borderId="1" xfId="1" applyFont="1" applyFill="1" applyBorder="1" applyAlignment="1" applyProtection="1"/>
    <xf numFmtId="0" fontId="7" fillId="6" borderId="2" xfId="1" applyFont="1" applyFill="1" applyBorder="1" applyAlignment="1" applyProtection="1">
      <alignment horizontal="left"/>
    </xf>
    <xf numFmtId="165" fontId="7" fillId="6" borderId="0" xfId="1" applyNumberFormat="1" applyFont="1" applyFill="1" applyProtection="1"/>
    <xf numFmtId="0" fontId="7" fillId="6" borderId="0" xfId="1" applyFont="1" applyFill="1" applyProtection="1"/>
    <xf numFmtId="0" fontId="3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horizontal="center" vertical="center" wrapText="1"/>
    </xf>
    <xf numFmtId="10" fontId="3" fillId="2" borderId="0" xfId="1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Border="1" applyAlignment="1" applyProtection="1">
      <alignment horizontal="center" vertical="center" wrapText="1"/>
    </xf>
    <xf numFmtId="0" fontId="4" fillId="2" borderId="0" xfId="1" applyFont="1" applyFill="1" applyBorder="1" applyAlignment="1" applyProtection="1">
      <alignment horizontal="center"/>
    </xf>
    <xf numFmtId="0" fontId="3" fillId="2" borderId="0" xfId="1" applyFont="1" applyFill="1" applyBorder="1" applyAlignment="1" applyProtection="1">
      <alignment horizontal="right" vertical="center"/>
    </xf>
    <xf numFmtId="10" fontId="6" fillId="3" borderId="0" xfId="1" applyNumberFormat="1" applyFont="1" applyFill="1" applyAlignment="1" applyProtection="1">
      <alignment horizontal="center"/>
    </xf>
    <xf numFmtId="165" fontId="15" fillId="3" borderId="0" xfId="1" applyNumberFormat="1" applyFont="1" applyFill="1" applyAlignment="1" applyProtection="1">
      <alignment horizontal="center"/>
    </xf>
    <xf numFmtId="165" fontId="6" fillId="3" borderId="0" xfId="1" applyNumberFormat="1" applyFont="1" applyFill="1" applyAlignment="1" applyProtection="1">
      <alignment horizontal="center"/>
    </xf>
    <xf numFmtId="10" fontId="5" fillId="0" borderId="0" xfId="1" applyNumberFormat="1" applyFont="1" applyFill="1" applyAlignment="1" applyProtection="1">
      <alignment horizontal="center"/>
    </xf>
    <xf numFmtId="165" fontId="16" fillId="0" borderId="0" xfId="1" applyNumberFormat="1" applyFont="1" applyFill="1" applyAlignment="1" applyProtection="1">
      <alignment horizontal="center"/>
    </xf>
    <xf numFmtId="165" fontId="5" fillId="0" borderId="0" xfId="1" applyNumberFormat="1" applyFont="1" applyFill="1" applyAlignment="1" applyProtection="1">
      <alignment horizontal="center"/>
    </xf>
    <xf numFmtId="10" fontId="7" fillId="6" borderId="0" xfId="1" applyNumberFormat="1" applyFont="1" applyFill="1" applyAlignment="1" applyProtection="1">
      <alignment horizontal="center"/>
    </xf>
    <xf numFmtId="165" fontId="18" fillId="6" borderId="0" xfId="1" applyNumberFormat="1" applyFont="1" applyFill="1" applyAlignment="1" applyProtection="1">
      <alignment horizontal="center"/>
    </xf>
    <xf numFmtId="165" fontId="7" fillId="6" borderId="0" xfId="1" applyNumberFormat="1" applyFont="1" applyFill="1" applyAlignment="1" applyProtection="1">
      <alignment horizontal="center"/>
    </xf>
    <xf numFmtId="10" fontId="13" fillId="5" borderId="4" xfId="1" applyNumberFormat="1" applyFont="1" applyFill="1" applyBorder="1" applyAlignment="1" applyProtection="1">
      <alignment horizontal="center"/>
    </xf>
    <xf numFmtId="165" fontId="17" fillId="5" borderId="4" xfId="1" applyNumberFormat="1" applyFont="1" applyFill="1" applyBorder="1" applyAlignment="1" applyProtection="1">
      <alignment horizontal="center"/>
    </xf>
    <xf numFmtId="10" fontId="12" fillId="4" borderId="0" xfId="1" applyNumberFormat="1" applyFont="1" applyFill="1" applyBorder="1" applyAlignment="1" applyProtection="1">
      <alignment horizontal="center"/>
    </xf>
    <xf numFmtId="165" fontId="11" fillId="4" borderId="0" xfId="1" applyNumberFormat="1" applyFont="1" applyFill="1" applyAlignment="1" applyProtection="1">
      <alignment horizontal="center"/>
    </xf>
    <xf numFmtId="10" fontId="13" fillId="5" borderId="0" xfId="1" applyNumberFormat="1" applyFont="1" applyFill="1" applyBorder="1" applyAlignment="1" applyProtection="1">
      <alignment horizontal="center"/>
    </xf>
    <xf numFmtId="165" fontId="13" fillId="5" borderId="0" xfId="1" applyNumberFormat="1" applyFont="1" applyFill="1" applyBorder="1" applyAlignment="1" applyProtection="1">
      <alignment horizontal="center"/>
    </xf>
    <xf numFmtId="167" fontId="12" fillId="4" borderId="4" xfId="1" applyNumberFormat="1" applyFont="1" applyFill="1" applyBorder="1" applyAlignment="1" applyProtection="1">
      <alignment horizontal="center"/>
    </xf>
    <xf numFmtId="10" fontId="12" fillId="4" borderId="4" xfId="1" applyNumberFormat="1" applyFont="1" applyFill="1" applyBorder="1" applyAlignment="1" applyProtection="1">
      <alignment horizontal="center"/>
    </xf>
    <xf numFmtId="165" fontId="12" fillId="4" borderId="4" xfId="1" applyNumberFormat="1" applyFont="1" applyFill="1" applyBorder="1" applyAlignment="1" applyProtection="1">
      <alignment horizontal="center"/>
    </xf>
    <xf numFmtId="10" fontId="12" fillId="4" borderId="0" xfId="1" applyNumberFormat="1" applyFont="1" applyFill="1" applyAlignment="1" applyProtection="1">
      <alignment horizontal="center"/>
    </xf>
    <xf numFmtId="10" fontId="6" fillId="0" borderId="0" xfId="1" applyNumberFormat="1" applyFont="1" applyFill="1" applyAlignment="1" applyProtection="1">
      <alignment horizontal="center"/>
    </xf>
    <xf numFmtId="165" fontId="15" fillId="0" borderId="0" xfId="1" applyNumberFormat="1" applyFont="1" applyFill="1" applyAlignment="1" applyProtection="1">
      <alignment horizontal="center"/>
    </xf>
    <xf numFmtId="165" fontId="6" fillId="0" borderId="0" xfId="1" applyNumberFormat="1" applyFont="1" applyFill="1" applyAlignment="1" applyProtection="1">
      <alignment horizontal="center"/>
    </xf>
    <xf numFmtId="0" fontId="15" fillId="0" borderId="0" xfId="1" applyFont="1" applyFill="1" applyAlignment="1" applyProtection="1">
      <alignment horizontal="center"/>
    </xf>
    <xf numFmtId="0" fontId="6" fillId="0" borderId="0" xfId="1" applyFont="1" applyFill="1" applyAlignment="1" applyProtection="1">
      <alignment horizontal="center"/>
    </xf>
    <xf numFmtId="165" fontId="5" fillId="0" borderId="0" xfId="1" applyNumberFormat="1" applyFont="1" applyFill="1" applyAlignment="1" applyProtection="1">
      <alignment horizontal="right"/>
    </xf>
    <xf numFmtId="0" fontId="3" fillId="2" borderId="4" xfId="1" applyFont="1" applyFill="1" applyBorder="1" applyAlignment="1" applyProtection="1">
      <alignment horizontal="right" vertical="center"/>
    </xf>
    <xf numFmtId="0" fontId="0" fillId="0" borderId="0" xfId="0" pivotButton="1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0" fontId="19" fillId="0" borderId="6" xfId="0" applyFont="1" applyBorder="1"/>
    <xf numFmtId="0" fontId="0" fillId="0" borderId="6" xfId="0" applyBorder="1" applyAlignment="1">
      <alignment horizontal="right"/>
    </xf>
    <xf numFmtId="0" fontId="19" fillId="0" borderId="0" xfId="0" applyFont="1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1" fillId="0" borderId="0" xfId="1" applyNumberFormat="1" applyFont="1" applyAlignment="1" applyProtection="1">
      <alignment horizontal="left" vertical="top"/>
    </xf>
    <xf numFmtId="165" fontId="1" fillId="0" borderId="0" xfId="1" applyNumberFormat="1" applyFont="1" applyAlignment="1" applyProtection="1">
      <alignment horizontal="left" vertical="top" wrapText="1"/>
    </xf>
  </cellXfs>
  <cellStyles count="9">
    <cellStyle name="Euro" xfId="2"/>
    <cellStyle name="Lien hypertexte 2" xfId="3"/>
    <cellStyle name="Milliers 2" xfId="4"/>
    <cellStyle name="Monétaire 2" xfId="5"/>
    <cellStyle name="Normal" xfId="0" builtinId="0"/>
    <cellStyle name="Normal 2" xfId="1"/>
    <cellStyle name="Normal 3" xfId="6"/>
    <cellStyle name="Normal 3 2" xfId="7"/>
    <cellStyle name="Pourcentage 2" xfId="8"/>
  </cellStyles>
  <dxfs count="56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BusinessPlan.xlsx]Synthèse!Tableau croisé dynamique1</c:name>
    <c:fmtId val="7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des</a:t>
            </a:r>
            <a:r>
              <a:rPr lang="fr-FR" baseline="0"/>
              <a:t> grandes lignes</a:t>
            </a:r>
            <a:endParaRPr lang="fr-FR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Synthèse!$C$4:$C$5</c:f>
              <c:strCache>
                <c:ptCount val="1"/>
                <c:pt idx="0">
                  <c:v>CHIFFRE D'AFFAIRES</c:v>
                </c:pt>
              </c:strCache>
            </c:strRef>
          </c:tx>
          <c:marker>
            <c:symbol val="none"/>
          </c:marker>
          <c:cat>
            <c:strRef>
              <c:f>Synthèse!$B$6:$B$12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Synthèse!$C$6:$C$12</c:f>
              <c:numCache>
                <c:formatCode>##,#0\.0,\k"€"</c:formatCode>
                <c:ptCount val="7"/>
                <c:pt idx="0">
                  <c:v>376492.65</c:v>
                </c:pt>
                <c:pt idx="1">
                  <c:v>339082.8</c:v>
                </c:pt>
                <c:pt idx="2">
                  <c:v>372708.5</c:v>
                </c:pt>
                <c:pt idx="3">
                  <c:v>376144</c:v>
                </c:pt>
                <c:pt idx="4">
                  <c:v>502314</c:v>
                </c:pt>
                <c:pt idx="5">
                  <c:v>596495</c:v>
                </c:pt>
                <c:pt idx="6">
                  <c:v>704714.25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Synthèse!$D$4:$D$5</c:f>
              <c:strCache>
                <c:ptCount val="1"/>
                <c:pt idx="0">
                  <c:v>MARGE BRUTE (=CA-FRAIS DIRECTS)</c:v>
                </c:pt>
              </c:strCache>
            </c:strRef>
          </c:tx>
          <c:marker>
            <c:symbol val="none"/>
          </c:marker>
          <c:cat>
            <c:strRef>
              <c:f>Synthèse!$B$6:$B$12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Synthèse!$D$6:$D$12</c:f>
              <c:numCache>
                <c:formatCode>##,#0\.0,\k"€"</c:formatCode>
                <c:ptCount val="7"/>
                <c:pt idx="0">
                  <c:v>127036.56000000003</c:v>
                </c:pt>
                <c:pt idx="1">
                  <c:v>78972.099999999977</c:v>
                </c:pt>
                <c:pt idx="2">
                  <c:v>80137.330000000016</c:v>
                </c:pt>
                <c:pt idx="3">
                  <c:v>106604.65000000002</c:v>
                </c:pt>
                <c:pt idx="4">
                  <c:v>188744.58599999995</c:v>
                </c:pt>
                <c:pt idx="5">
                  <c:v>268470.31543999998</c:v>
                </c:pt>
                <c:pt idx="6">
                  <c:v>349513.41997519997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Synthèse!$E$4:$E$5</c:f>
              <c:strCache>
                <c:ptCount val="1"/>
                <c:pt idx="0">
                  <c:v>RESULTAT COURANT</c:v>
                </c:pt>
              </c:strCache>
            </c:strRef>
          </c:tx>
          <c:marker>
            <c:symbol val="none"/>
          </c:marker>
          <c:cat>
            <c:strRef>
              <c:f>Synthèse!$B$6:$B$12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Synthèse!$E$6:$E$12</c:f>
              <c:numCache>
                <c:formatCode>##,#0\.0,\k"€"</c:formatCode>
                <c:ptCount val="7"/>
                <c:pt idx="0">
                  <c:v>12855.560000000027</c:v>
                </c:pt>
                <c:pt idx="1">
                  <c:v>-22623.900000000023</c:v>
                </c:pt>
                <c:pt idx="2">
                  <c:v>-43787.669999999984</c:v>
                </c:pt>
                <c:pt idx="3">
                  <c:v>-48.849999999976717</c:v>
                </c:pt>
                <c:pt idx="4">
                  <c:v>135337.98599999995</c:v>
                </c:pt>
                <c:pt idx="5">
                  <c:v>213392.62243999998</c:v>
                </c:pt>
                <c:pt idx="6">
                  <c:v>292668.85568519996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213312"/>
        <c:axId val="167231488"/>
      </c:lineChart>
      <c:catAx>
        <c:axId val="167213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67231488"/>
        <c:crosses val="autoZero"/>
        <c:auto val="1"/>
        <c:lblAlgn val="ctr"/>
        <c:lblOffset val="100"/>
        <c:noMultiLvlLbl val="0"/>
      </c:catAx>
      <c:valAx>
        <c:axId val="167231488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67213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BusinessPlan.xlsx]Synthèse!Tableau croisé dynamique2</c:name>
    <c:fmtId val="8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 du</a:t>
            </a:r>
            <a:r>
              <a:rPr lang="en-US" baseline="0"/>
              <a:t> résultat courant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Synthèse!$C$32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Synthèse!$B$33:$B$39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Synthèse!$C$33:$C$39</c:f>
              <c:numCache>
                <c:formatCode>##,#0\.0,\k"€"</c:formatCode>
                <c:ptCount val="7"/>
                <c:pt idx="0">
                  <c:v>12855.560000000027</c:v>
                </c:pt>
                <c:pt idx="1">
                  <c:v>-22623.900000000023</c:v>
                </c:pt>
                <c:pt idx="2">
                  <c:v>-43787.669999999984</c:v>
                </c:pt>
                <c:pt idx="3">
                  <c:v>-48.849999999976717</c:v>
                </c:pt>
                <c:pt idx="4">
                  <c:v>135337.98599999995</c:v>
                </c:pt>
                <c:pt idx="5">
                  <c:v>213392.62243999998</c:v>
                </c:pt>
                <c:pt idx="6">
                  <c:v>292668.85568519996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5712"/>
        <c:axId val="168437248"/>
      </c:lineChart>
      <c:catAx>
        <c:axId val="168435712"/>
        <c:scaling>
          <c:orientation val="minMax"/>
        </c:scaling>
        <c:delete val="0"/>
        <c:axPos val="b"/>
        <c:majorTickMark val="out"/>
        <c:minorTickMark val="none"/>
        <c:tickLblPos val="nextTo"/>
        <c:crossAx val="168437248"/>
        <c:crosses val="autoZero"/>
        <c:auto val="1"/>
        <c:lblAlgn val="ctr"/>
        <c:lblOffset val="100"/>
        <c:noMultiLvlLbl val="0"/>
      </c:catAx>
      <c:valAx>
        <c:axId val="168437248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6843571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2!Tableau croisé dynamique1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du CA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'Chapitre 2'!$C$4:$C$5</c:f>
              <c:strCache>
                <c:ptCount val="1"/>
                <c:pt idx="0">
                  <c:v>2.1 CA BATIGAM</c:v>
                </c:pt>
              </c:strCache>
            </c:strRef>
          </c:tx>
          <c:invertIfNegative val="0"/>
          <c:cat>
            <c:strRef>
              <c:f>'Chapitre 2'!$B$6:$B$12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2'!$C$6:$C$12</c:f>
              <c:numCache>
                <c:formatCode>##,#0\.0,\k"€"</c:formatCode>
                <c:ptCount val="7"/>
                <c:pt idx="0">
                  <c:v>331492.65000000002</c:v>
                </c:pt>
                <c:pt idx="1">
                  <c:v>151739.89000000001</c:v>
                </c:pt>
                <c:pt idx="2">
                  <c:v>232741.48000000004</c:v>
                </c:pt>
                <c:pt idx="3">
                  <c:v>145000</c:v>
                </c:pt>
                <c:pt idx="4">
                  <c:v>241000</c:v>
                </c:pt>
                <c:pt idx="5">
                  <c:v>310100</c:v>
                </c:pt>
                <c:pt idx="6">
                  <c:v>386110.00000000006</c:v>
                </c:pt>
              </c:numCache>
            </c:numRef>
          </c:val>
        </c:ser>
        <c:ser>
          <c:idx val="1"/>
          <c:order val="1"/>
          <c:tx>
            <c:strRef>
              <c:f>'Chapitre 2'!$D$4:$D$5</c:f>
              <c:strCache>
                <c:ptCount val="1"/>
                <c:pt idx="0">
                  <c:v>2.2 CA DIAGNOSTIC/EXPERTISE</c:v>
                </c:pt>
              </c:strCache>
            </c:strRef>
          </c:tx>
          <c:invertIfNegative val="0"/>
          <c:cat>
            <c:strRef>
              <c:f>'Chapitre 2'!$B$6:$B$12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2'!$D$6:$D$12</c:f>
              <c:numCache>
                <c:formatCode>##,#0\.0,\k"€"</c:formatCode>
                <c:ptCount val="7"/>
                <c:pt idx="0">
                  <c:v>45000</c:v>
                </c:pt>
                <c:pt idx="1">
                  <c:v>149340.66999999998</c:v>
                </c:pt>
                <c:pt idx="2">
                  <c:v>164362.37</c:v>
                </c:pt>
                <c:pt idx="3">
                  <c:v>191000</c:v>
                </c:pt>
                <c:pt idx="4">
                  <c:v>228806</c:v>
                </c:pt>
                <c:pt idx="5">
                  <c:v>237004</c:v>
                </c:pt>
                <c:pt idx="6">
                  <c:v>245611.5</c:v>
                </c:pt>
              </c:numCache>
            </c:numRef>
          </c:val>
        </c:ser>
        <c:ser>
          <c:idx val="2"/>
          <c:order val="2"/>
          <c:tx>
            <c:strRef>
              <c:f>'Chapitre 2'!$E$4:$E$5</c:f>
              <c:strCache>
                <c:ptCount val="1"/>
                <c:pt idx="0">
                  <c:v>2.3 CA FORMATION</c:v>
                </c:pt>
              </c:strCache>
            </c:strRef>
          </c:tx>
          <c:invertIfNegative val="0"/>
          <c:cat>
            <c:strRef>
              <c:f>'Chapitre 2'!$B$6:$B$12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2'!$E$6:$E$12</c:f>
              <c:numCache>
                <c:formatCode>##,#0\.0,\k"€"</c:formatCode>
                <c:ptCount val="7"/>
                <c:pt idx="0">
                  <c:v>0</c:v>
                </c:pt>
                <c:pt idx="1">
                  <c:v>10102.24</c:v>
                </c:pt>
                <c:pt idx="2">
                  <c:v>4737.6499999999996</c:v>
                </c:pt>
                <c:pt idx="3">
                  <c:v>27000</c:v>
                </c:pt>
                <c:pt idx="4">
                  <c:v>32508</c:v>
                </c:pt>
                <c:pt idx="5">
                  <c:v>49391</c:v>
                </c:pt>
                <c:pt idx="6">
                  <c:v>72992.75</c:v>
                </c:pt>
              </c:numCache>
            </c:numRef>
          </c:val>
        </c:ser>
        <c:ser>
          <c:idx val="3"/>
          <c:order val="3"/>
          <c:tx>
            <c:strRef>
              <c:f>'Chapitre 2'!$F$4:$F$5</c:f>
              <c:strCache>
                <c:ptCount val="1"/>
                <c:pt idx="0">
                  <c:v>2.4 CA ENCOURS DE PRODUCTION</c:v>
                </c:pt>
              </c:strCache>
            </c:strRef>
          </c:tx>
          <c:invertIfNegative val="0"/>
          <c:cat>
            <c:strRef>
              <c:f>'Chapitre 2'!$B$6:$B$12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2'!$F$6:$F$12</c:f>
              <c:numCache>
                <c:formatCode>##,#0\.0,\k"€"</c:formatCode>
                <c:ptCount val="7"/>
                <c:pt idx="0">
                  <c:v>0</c:v>
                </c:pt>
                <c:pt idx="1">
                  <c:v>27900</c:v>
                </c:pt>
                <c:pt idx="2">
                  <c:v>-29133</c:v>
                </c:pt>
                <c:pt idx="3">
                  <c:v>13144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8583936"/>
        <c:axId val="168585472"/>
      </c:barChart>
      <c:catAx>
        <c:axId val="168583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68585472"/>
        <c:crosses val="autoZero"/>
        <c:auto val="1"/>
        <c:lblAlgn val="ctr"/>
        <c:lblOffset val="100"/>
        <c:noMultiLvlLbl val="0"/>
      </c:catAx>
      <c:valAx>
        <c:axId val="168585472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68583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2!Tableau croisé dynamique2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 du CA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'Chapitre 2'!$C$32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'Chapitre 2'!$B$33:$B$39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2'!$C$33:$C$39</c:f>
              <c:numCache>
                <c:formatCode>##,#0\.0,\k"€"</c:formatCode>
                <c:ptCount val="7"/>
                <c:pt idx="0">
                  <c:v>376492.65</c:v>
                </c:pt>
                <c:pt idx="1">
                  <c:v>339082.8</c:v>
                </c:pt>
                <c:pt idx="2">
                  <c:v>372708.5</c:v>
                </c:pt>
                <c:pt idx="3">
                  <c:v>376144</c:v>
                </c:pt>
                <c:pt idx="4">
                  <c:v>502314</c:v>
                </c:pt>
                <c:pt idx="5">
                  <c:v>596495</c:v>
                </c:pt>
                <c:pt idx="6">
                  <c:v>704714.25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599552"/>
        <c:axId val="168601088"/>
      </c:lineChart>
      <c:catAx>
        <c:axId val="168599552"/>
        <c:scaling>
          <c:orientation val="minMax"/>
        </c:scaling>
        <c:delete val="0"/>
        <c:axPos val="b"/>
        <c:majorTickMark val="out"/>
        <c:minorTickMark val="none"/>
        <c:tickLblPos val="nextTo"/>
        <c:crossAx val="168601088"/>
        <c:crosses val="autoZero"/>
        <c:auto val="1"/>
        <c:lblAlgn val="ctr"/>
        <c:lblOffset val="100"/>
        <c:noMultiLvlLbl val="0"/>
      </c:catAx>
      <c:valAx>
        <c:axId val="168601088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6859955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3!Tableau croisé dynamique1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des frais directs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'Chapitre 3'!$C$4:$C$5</c:f>
              <c:strCache>
                <c:ptCount val="1"/>
                <c:pt idx="0">
                  <c:v>3.1 SOUS- TRAITANCE</c:v>
                </c:pt>
              </c:strCache>
            </c:strRef>
          </c:tx>
          <c:invertIfNegative val="0"/>
          <c:cat>
            <c:strRef>
              <c:f>'Chapitre 3'!$B$6:$B$12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3'!$C$6:$C$12</c:f>
              <c:numCache>
                <c:formatCode>##,#0\.0,\k"€"</c:formatCode>
                <c:ptCount val="7"/>
                <c:pt idx="0">
                  <c:v>126191.09</c:v>
                </c:pt>
                <c:pt idx="1">
                  <c:v>38681.699999999997</c:v>
                </c:pt>
                <c:pt idx="2">
                  <c:v>62300.17</c:v>
                </c:pt>
                <c:pt idx="3">
                  <c:v>5000</c:v>
                </c:pt>
                <c:pt idx="4">
                  <c:v>5012</c:v>
                </c:pt>
                <c:pt idx="5">
                  <c:v>5024</c:v>
                </c:pt>
                <c:pt idx="6">
                  <c:v>5036</c:v>
                </c:pt>
              </c:numCache>
            </c:numRef>
          </c:val>
        </c:ser>
        <c:ser>
          <c:idx val="1"/>
          <c:order val="1"/>
          <c:tx>
            <c:strRef>
              <c:f>'Chapitre 3'!$D$4:$D$5</c:f>
              <c:strCache>
                <c:ptCount val="1"/>
                <c:pt idx="0">
                  <c:v>3.2 FRAIS DEPLACEMENT</c:v>
                </c:pt>
              </c:strCache>
            </c:strRef>
          </c:tx>
          <c:invertIfNegative val="0"/>
          <c:cat>
            <c:strRef>
              <c:f>'Chapitre 3'!$B$6:$B$12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3'!$D$6:$D$12</c:f>
              <c:numCache>
                <c:formatCode>##,#0\.0,\k"€"</c:formatCode>
                <c:ptCount val="7"/>
                <c:pt idx="0">
                  <c:v>16445</c:v>
                </c:pt>
                <c:pt idx="1">
                  <c:v>35233</c:v>
                </c:pt>
                <c:pt idx="2">
                  <c:v>38577</c:v>
                </c:pt>
                <c:pt idx="3">
                  <c:v>27454</c:v>
                </c:pt>
                <c:pt idx="4">
                  <c:v>29833.4</c:v>
                </c:pt>
                <c:pt idx="5">
                  <c:v>33471.31</c:v>
                </c:pt>
                <c:pt idx="6">
                  <c:v>38171.905500000001</c:v>
                </c:pt>
              </c:numCache>
            </c:numRef>
          </c:val>
        </c:ser>
        <c:ser>
          <c:idx val="2"/>
          <c:order val="2"/>
          <c:tx>
            <c:strRef>
              <c:f>'Chapitre 3'!$E$4:$E$5</c:f>
              <c:strCache>
                <c:ptCount val="1"/>
                <c:pt idx="0">
                  <c:v>3.3 PERSONNEL</c:v>
                </c:pt>
              </c:strCache>
            </c:strRef>
          </c:tx>
          <c:invertIfNegative val="0"/>
          <c:cat>
            <c:strRef>
              <c:f>'Chapitre 3'!$B$6:$B$12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3'!$E$6:$E$12</c:f>
              <c:numCache>
                <c:formatCode>##,#0\.0,\k"€"</c:formatCode>
                <c:ptCount val="7"/>
                <c:pt idx="0">
                  <c:v>103960</c:v>
                </c:pt>
                <c:pt idx="1">
                  <c:v>183447</c:v>
                </c:pt>
                <c:pt idx="2">
                  <c:v>188783</c:v>
                </c:pt>
                <c:pt idx="3">
                  <c:v>234085.35</c:v>
                </c:pt>
                <c:pt idx="4">
                  <c:v>275724.01400000002</c:v>
                </c:pt>
                <c:pt idx="5">
                  <c:v>286529.37456000003</c:v>
                </c:pt>
                <c:pt idx="6">
                  <c:v>308992.92452480004</c:v>
                </c:pt>
              </c:numCache>
            </c:numRef>
          </c:val>
        </c:ser>
        <c:ser>
          <c:idx val="3"/>
          <c:order val="3"/>
          <c:tx>
            <c:strRef>
              <c:f>'Chapitre 3'!$F$4:$F$5</c:f>
              <c:strCache>
                <c:ptCount val="1"/>
                <c:pt idx="0">
                  <c:v>3.4 ASSURANCE RC</c:v>
                </c:pt>
              </c:strCache>
            </c:strRef>
          </c:tx>
          <c:invertIfNegative val="0"/>
          <c:cat>
            <c:strRef>
              <c:f>'Chapitre 3'!$B$6:$B$12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3'!$F$6:$F$12</c:f>
              <c:numCache>
                <c:formatCode>##,#0\.0,\k"€"</c:formatCode>
                <c:ptCount val="7"/>
                <c:pt idx="0">
                  <c:v>2860</c:v>
                </c:pt>
                <c:pt idx="1">
                  <c:v>2749</c:v>
                </c:pt>
                <c:pt idx="2">
                  <c:v>2911</c:v>
                </c:pt>
                <c:pt idx="3">
                  <c:v>3000</c:v>
                </c:pt>
                <c:pt idx="4">
                  <c:v>3000</c:v>
                </c:pt>
                <c:pt idx="5">
                  <c:v>3000</c:v>
                </c:pt>
                <c:pt idx="6">
                  <c:v>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3966080"/>
        <c:axId val="173967616"/>
      </c:barChart>
      <c:catAx>
        <c:axId val="173966080"/>
        <c:scaling>
          <c:orientation val="minMax"/>
        </c:scaling>
        <c:delete val="0"/>
        <c:axPos val="b"/>
        <c:majorTickMark val="out"/>
        <c:minorTickMark val="none"/>
        <c:tickLblPos val="nextTo"/>
        <c:crossAx val="173967616"/>
        <c:crosses val="autoZero"/>
        <c:auto val="1"/>
        <c:lblAlgn val="ctr"/>
        <c:lblOffset val="100"/>
        <c:noMultiLvlLbl val="0"/>
      </c:catAx>
      <c:valAx>
        <c:axId val="173967616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73966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3!Tableau croisé dynamique2</c:name>
    <c:fmtId val="6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 des frais directs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'Chapitre 3'!$C$32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'Chapitre 3'!$B$33:$B$39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3'!$C$33:$C$39</c:f>
              <c:numCache>
                <c:formatCode>##,#0\.0,\k"€"</c:formatCode>
                <c:ptCount val="7"/>
                <c:pt idx="0">
                  <c:v>249456.09</c:v>
                </c:pt>
                <c:pt idx="1">
                  <c:v>260110.7</c:v>
                </c:pt>
                <c:pt idx="2">
                  <c:v>292571.17</c:v>
                </c:pt>
                <c:pt idx="3">
                  <c:v>269539.34999999998</c:v>
                </c:pt>
                <c:pt idx="4">
                  <c:v>313569.41400000005</c:v>
                </c:pt>
                <c:pt idx="5">
                  <c:v>328024.68456000002</c:v>
                </c:pt>
                <c:pt idx="6">
                  <c:v>355200.83002480003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996672"/>
        <c:axId val="174002560"/>
      </c:lineChart>
      <c:catAx>
        <c:axId val="173996672"/>
        <c:scaling>
          <c:orientation val="minMax"/>
        </c:scaling>
        <c:delete val="0"/>
        <c:axPos val="b"/>
        <c:majorTickMark val="out"/>
        <c:minorTickMark val="none"/>
        <c:tickLblPos val="nextTo"/>
        <c:crossAx val="174002560"/>
        <c:crosses val="autoZero"/>
        <c:auto val="1"/>
        <c:lblAlgn val="ctr"/>
        <c:lblOffset val="100"/>
        <c:noMultiLvlLbl val="0"/>
      </c:catAx>
      <c:valAx>
        <c:axId val="174002560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7399667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4!Tableau croisé dynamique1</c:name>
    <c:fmtId val="6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des</a:t>
            </a:r>
            <a:r>
              <a:rPr lang="fr-FR" baseline="0"/>
              <a:t> charges d'exploitation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'Chapitre 4'!$C$4:$C$5</c:f>
              <c:strCache>
                <c:ptCount val="1"/>
                <c:pt idx="0">
                  <c:v>4.1 LOCAUX</c:v>
                </c:pt>
              </c:strCache>
            </c:strRef>
          </c:tx>
          <c:invertIfNegative val="0"/>
          <c:cat>
            <c:strRef>
              <c:f>'Chapitre 4'!$B$6:$B$12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4'!$C$6:$C$12</c:f>
              <c:numCache>
                <c:formatCode>##,#0\.0,\k"€"</c:formatCode>
                <c:ptCount val="7"/>
                <c:pt idx="0">
                  <c:v>13824</c:v>
                </c:pt>
                <c:pt idx="1">
                  <c:v>14211</c:v>
                </c:pt>
                <c:pt idx="2">
                  <c:v>18146</c:v>
                </c:pt>
                <c:pt idx="3">
                  <c:v>18950</c:v>
                </c:pt>
                <c:pt idx="4">
                  <c:v>19913.5</c:v>
                </c:pt>
                <c:pt idx="5">
                  <c:v>20925.175000000003</c:v>
                </c:pt>
                <c:pt idx="6">
                  <c:v>21987.433750000004</c:v>
                </c:pt>
              </c:numCache>
            </c:numRef>
          </c:val>
        </c:ser>
        <c:ser>
          <c:idx val="1"/>
          <c:order val="1"/>
          <c:tx>
            <c:strRef>
              <c:f>'Chapitre 4'!$D$4:$D$5</c:f>
              <c:strCache>
                <c:ptCount val="1"/>
                <c:pt idx="0">
                  <c:v>4.2 CHARGES ADMINISTRATIVES</c:v>
                </c:pt>
              </c:strCache>
            </c:strRef>
          </c:tx>
          <c:invertIfNegative val="0"/>
          <c:cat>
            <c:strRef>
              <c:f>'Chapitre 4'!$B$6:$B$12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4'!$D$6:$D$12</c:f>
              <c:numCache>
                <c:formatCode>##,#0\.0,\k"€"</c:formatCode>
                <c:ptCount val="7"/>
                <c:pt idx="0">
                  <c:v>6600</c:v>
                </c:pt>
                <c:pt idx="1">
                  <c:v>13764</c:v>
                </c:pt>
                <c:pt idx="2">
                  <c:v>21093</c:v>
                </c:pt>
                <c:pt idx="3">
                  <c:v>9211</c:v>
                </c:pt>
                <c:pt idx="4">
                  <c:v>7468.6</c:v>
                </c:pt>
                <c:pt idx="5">
                  <c:v>7952.018</c:v>
                </c:pt>
                <c:pt idx="6">
                  <c:v>8473.4305400000012</c:v>
                </c:pt>
              </c:numCache>
            </c:numRef>
          </c:val>
        </c:ser>
        <c:ser>
          <c:idx val="2"/>
          <c:order val="2"/>
          <c:tx>
            <c:strRef>
              <c:f>'Chapitre 4'!$E$4:$E$5</c:f>
              <c:strCache>
                <c:ptCount val="1"/>
                <c:pt idx="0">
                  <c:v>4.3 HONORAIRES</c:v>
                </c:pt>
              </c:strCache>
            </c:strRef>
          </c:tx>
          <c:invertIfNegative val="0"/>
          <c:cat>
            <c:strRef>
              <c:f>'Chapitre 4'!$B$6:$B$12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4'!$E$6:$E$12</c:f>
              <c:numCache>
                <c:formatCode>##,#0\.0,\k"€"</c:formatCode>
                <c:ptCount val="7"/>
                <c:pt idx="0">
                  <c:v>75370</c:v>
                </c:pt>
                <c:pt idx="1">
                  <c:v>50307</c:v>
                </c:pt>
                <c:pt idx="2">
                  <c:v>43712</c:v>
                </c:pt>
                <c:pt idx="3">
                  <c:v>24000</c:v>
                </c:pt>
                <c:pt idx="4">
                  <c:v>12020</c:v>
                </c:pt>
                <c:pt idx="5">
                  <c:v>12040</c:v>
                </c:pt>
                <c:pt idx="6">
                  <c:v>12060</c:v>
                </c:pt>
              </c:numCache>
            </c:numRef>
          </c:val>
        </c:ser>
        <c:ser>
          <c:idx val="3"/>
          <c:order val="3"/>
          <c:tx>
            <c:strRef>
              <c:f>'Chapitre 4'!$F$4:$F$5</c:f>
              <c:strCache>
                <c:ptCount val="1"/>
                <c:pt idx="0">
                  <c:v>4.4 FRAIS INFORMATIQUES &amp; TELEPHONIE</c:v>
                </c:pt>
              </c:strCache>
            </c:strRef>
          </c:tx>
          <c:invertIfNegative val="0"/>
          <c:cat>
            <c:strRef>
              <c:f>'Chapitre 4'!$B$6:$B$12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4'!$F$6:$F$12</c:f>
              <c:numCache>
                <c:formatCode>##,#0\.0,\k"€"</c:formatCode>
                <c:ptCount val="7"/>
                <c:pt idx="0">
                  <c:v>1953</c:v>
                </c:pt>
                <c:pt idx="1">
                  <c:v>4378</c:v>
                </c:pt>
                <c:pt idx="2">
                  <c:v>4708</c:v>
                </c:pt>
                <c:pt idx="3">
                  <c:v>11492.5</c:v>
                </c:pt>
                <c:pt idx="4">
                  <c:v>14004.5</c:v>
                </c:pt>
                <c:pt idx="5">
                  <c:v>14160.5</c:v>
                </c:pt>
                <c:pt idx="6">
                  <c:v>14323.7</c:v>
                </c:pt>
              </c:numCache>
            </c:numRef>
          </c:val>
        </c:ser>
        <c:ser>
          <c:idx val="4"/>
          <c:order val="4"/>
          <c:tx>
            <c:strRef>
              <c:f>'Chapitre 4'!$G$4:$G$5</c:f>
              <c:strCache>
                <c:ptCount val="1"/>
                <c:pt idx="0">
                  <c:v>4.5 DOTATIONS AMORTISSEMENTS</c:v>
                </c:pt>
              </c:strCache>
            </c:strRef>
          </c:tx>
          <c:invertIfNegative val="0"/>
          <c:cat>
            <c:strRef>
              <c:f>'Chapitre 4'!$B$6:$B$12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4'!$G$6:$G$12</c:f>
              <c:numCache>
                <c:formatCode>##,#0\.0,\k"€"</c:formatCode>
                <c:ptCount val="7"/>
                <c:pt idx="0">
                  <c:v>17079</c:v>
                </c:pt>
                <c:pt idx="1">
                  <c:v>19097</c:v>
                </c:pt>
                <c:pt idx="2">
                  <c:v>37984</c:v>
                </c:pt>
                <c:pt idx="3">
                  <c:v>43000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6413056"/>
        <c:axId val="186414592"/>
      </c:barChart>
      <c:catAx>
        <c:axId val="186413056"/>
        <c:scaling>
          <c:orientation val="minMax"/>
        </c:scaling>
        <c:delete val="0"/>
        <c:axPos val="b"/>
        <c:majorTickMark val="out"/>
        <c:minorTickMark val="none"/>
        <c:tickLblPos val="nextTo"/>
        <c:crossAx val="186414592"/>
        <c:crosses val="autoZero"/>
        <c:auto val="1"/>
        <c:lblAlgn val="ctr"/>
        <c:lblOffset val="100"/>
        <c:noMultiLvlLbl val="0"/>
      </c:catAx>
      <c:valAx>
        <c:axId val="186414592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864130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4!Tableau croisé dynamique2</c:name>
    <c:fmtId val="7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 des</a:t>
            </a:r>
            <a:r>
              <a:rPr lang="en-US" baseline="0"/>
              <a:t> charges d'exploitation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'Chapitre 4'!$C$32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'Chapitre 4'!$B$33:$B$39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4'!$C$33:$C$39</c:f>
              <c:numCache>
                <c:formatCode>##,#0\.0,\k"€"</c:formatCode>
                <c:ptCount val="7"/>
                <c:pt idx="0">
                  <c:v>114826</c:v>
                </c:pt>
                <c:pt idx="1">
                  <c:v>101757</c:v>
                </c:pt>
                <c:pt idx="2">
                  <c:v>125643</c:v>
                </c:pt>
                <c:pt idx="3">
                  <c:v>106653.5</c:v>
                </c:pt>
                <c:pt idx="4">
                  <c:v>53406.6</c:v>
                </c:pt>
                <c:pt idx="5">
                  <c:v>55077.692999999999</c:v>
                </c:pt>
                <c:pt idx="6">
                  <c:v>56844.564290000002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426880"/>
        <c:axId val="186428416"/>
      </c:lineChart>
      <c:catAx>
        <c:axId val="186426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86428416"/>
        <c:crosses val="autoZero"/>
        <c:auto val="1"/>
        <c:lblAlgn val="ctr"/>
        <c:lblOffset val="100"/>
        <c:noMultiLvlLbl val="0"/>
      </c:catAx>
      <c:valAx>
        <c:axId val="186428416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86426880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5&amp;6!Tableau croisé dynamique1</c:name>
    <c:fmtId val="7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</a:t>
            </a:r>
          </a:p>
          <a:p>
            <a:pPr>
              <a:defRPr/>
            </a:pPr>
            <a:r>
              <a:rPr lang="fr-FR"/>
              <a:t>du résultat financier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'Chapitre 5&amp;6'!$C$4:$C$5</c:f>
              <c:strCache>
                <c:ptCount val="1"/>
                <c:pt idx="0">
                  <c:v>5.1 PRODUITS FINANCIERS</c:v>
                </c:pt>
              </c:strCache>
            </c:strRef>
          </c:tx>
          <c:invertIfNegative val="0"/>
          <c:cat>
            <c:strRef>
              <c:f>'Chapitre 5&amp;6'!$B$6:$B$12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5&amp;6'!$C$6:$C$12</c:f>
              <c:numCache>
                <c:formatCode>##,#0\.0,\k"€"</c:formatCode>
                <c:ptCount val="7"/>
                <c:pt idx="0">
                  <c:v>580</c:v>
                </c:pt>
                <c:pt idx="1">
                  <c:v>740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8</c:v>
                </c:pt>
                <c:pt idx="6">
                  <c:v>12</c:v>
                </c:pt>
              </c:numCache>
            </c:numRef>
          </c:val>
        </c:ser>
        <c:ser>
          <c:idx val="1"/>
          <c:order val="1"/>
          <c:tx>
            <c:strRef>
              <c:f>'Chapitre 5&amp;6'!$D$4:$D$5</c:f>
              <c:strCache>
                <c:ptCount val="1"/>
                <c:pt idx="0">
                  <c:v>5.2 CHARGES FINANCIERES</c:v>
                </c:pt>
              </c:strCache>
            </c:strRef>
          </c:tx>
          <c:invertIfNegative val="0"/>
          <c:cat>
            <c:strRef>
              <c:f>'Chapitre 5&amp;6'!$B$6:$B$12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5&amp;6'!$D$6:$D$12</c:f>
              <c:numCache>
                <c:formatCode>##,#0\.0,\k"€"</c:formatCode>
                <c:ptCount val="7"/>
                <c:pt idx="0">
                  <c:v>1225</c:v>
                </c:pt>
                <c:pt idx="1">
                  <c:v>1177</c:v>
                </c:pt>
                <c:pt idx="2">
                  <c:v>1718</c:v>
                </c:pt>
                <c:pt idx="3">
                  <c:v>0</c:v>
                </c:pt>
                <c:pt idx="4">
                  <c:v>4</c:v>
                </c:pt>
                <c:pt idx="5">
                  <c:v>8</c:v>
                </c:pt>
                <c:pt idx="6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6544896"/>
        <c:axId val="186546432"/>
      </c:barChart>
      <c:catAx>
        <c:axId val="186544896"/>
        <c:scaling>
          <c:orientation val="minMax"/>
        </c:scaling>
        <c:delete val="0"/>
        <c:axPos val="b"/>
        <c:majorTickMark val="out"/>
        <c:minorTickMark val="none"/>
        <c:tickLblPos val="nextTo"/>
        <c:crossAx val="186546432"/>
        <c:crosses val="autoZero"/>
        <c:auto val="1"/>
        <c:lblAlgn val="ctr"/>
        <c:lblOffset val="100"/>
        <c:noMultiLvlLbl val="0"/>
      </c:catAx>
      <c:valAx>
        <c:axId val="186546432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865448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[2013 10 18 - BusinessPlan.xlsx]Chapitre 5&amp;6!Tableau croisé dynamique2</c:name>
    <c:fmtId val="1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'Chapitre 5&amp;6'!$C$31:$C$32</c:f>
              <c:strCache>
                <c:ptCount val="1"/>
                <c:pt idx="0">
                  <c:v>6.1 PRODUITS EXCEPTIONNELS</c:v>
                </c:pt>
              </c:strCache>
            </c:strRef>
          </c:tx>
          <c:invertIfNegative val="0"/>
          <c:cat>
            <c:strRef>
              <c:f>'Chapitre 5&amp;6'!$B$33:$B$39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5&amp;6'!$C$33:$C$39</c:f>
              <c:numCache>
                <c:formatCode>##,#0\.0,\k"€"</c:formatCode>
                <c:ptCount val="7"/>
                <c:pt idx="0">
                  <c:v>0</c:v>
                </c:pt>
                <c:pt idx="1">
                  <c:v>276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8</c:v>
                </c:pt>
                <c:pt idx="6">
                  <c:v>12</c:v>
                </c:pt>
              </c:numCache>
            </c:numRef>
          </c:val>
        </c:ser>
        <c:ser>
          <c:idx val="1"/>
          <c:order val="1"/>
          <c:tx>
            <c:strRef>
              <c:f>'Chapitre 5&amp;6'!$D$31:$D$32</c:f>
              <c:strCache>
                <c:ptCount val="1"/>
                <c:pt idx="0">
                  <c:v>6.2 CHARGES EXCEPTIONNELLES</c:v>
                </c:pt>
              </c:strCache>
            </c:strRef>
          </c:tx>
          <c:invertIfNegative val="0"/>
          <c:cat>
            <c:strRef>
              <c:f>'Chapitre 5&amp;6'!$B$33:$B$39</c:f>
              <c:strCache>
                <c:ptCount val="7"/>
                <c:pt idx="0">
                  <c:v>09/10</c:v>
                </c:pt>
                <c:pt idx="1">
                  <c:v>10/11</c:v>
                </c:pt>
                <c:pt idx="2">
                  <c:v>11/12</c:v>
                </c:pt>
                <c:pt idx="3">
                  <c:v>12/13</c:v>
                </c:pt>
                <c:pt idx="4">
                  <c:v>13/14</c:v>
                </c:pt>
                <c:pt idx="5">
                  <c:v>14/15</c:v>
                </c:pt>
                <c:pt idx="6">
                  <c:v>15/16</c:v>
                </c:pt>
              </c:strCache>
            </c:strRef>
          </c:cat>
          <c:val>
            <c:numRef>
              <c:f>'Chapitre 5&amp;6'!$D$33:$D$39</c:f>
              <c:numCache>
                <c:formatCode>##,#0\.0,\k"€"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8</c:v>
                </c:pt>
                <c:pt idx="6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6561664"/>
        <c:axId val="186563200"/>
      </c:barChart>
      <c:catAx>
        <c:axId val="186561664"/>
        <c:scaling>
          <c:orientation val="minMax"/>
        </c:scaling>
        <c:delete val="0"/>
        <c:axPos val="b"/>
        <c:majorTickMark val="out"/>
        <c:minorTickMark val="none"/>
        <c:tickLblPos val="nextTo"/>
        <c:crossAx val="186563200"/>
        <c:crosses val="autoZero"/>
        <c:auto val="1"/>
        <c:lblAlgn val="ctr"/>
        <c:lblOffset val="100"/>
        <c:noMultiLvlLbl val="0"/>
      </c:catAx>
      <c:valAx>
        <c:axId val="186563200"/>
        <c:scaling>
          <c:orientation val="minMax"/>
        </c:scaling>
        <c:delete val="0"/>
        <c:axPos val="l"/>
        <c:majorGridlines/>
        <c:numFmt formatCode="##,#0\.0,\k&quot;€&quot;" sourceLinked="1"/>
        <c:majorTickMark val="out"/>
        <c:minorTickMark val="none"/>
        <c:tickLblPos val="nextTo"/>
        <c:crossAx val="186561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12</xdr:row>
      <xdr:rowOff>185737</xdr:rowOff>
    </xdr:from>
    <xdr:to>
      <xdr:col>7</xdr:col>
      <xdr:colOff>57150</xdr:colOff>
      <xdr:row>27</xdr:row>
      <xdr:rowOff>66675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471487</xdr:colOff>
      <xdr:row>29</xdr:row>
      <xdr:rowOff>109537</xdr:rowOff>
    </xdr:from>
    <xdr:to>
      <xdr:col>6</xdr:col>
      <xdr:colOff>538162</xdr:colOff>
      <xdr:row>43</xdr:row>
      <xdr:rowOff>185737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12</xdr:row>
      <xdr:rowOff>185737</xdr:rowOff>
    </xdr:from>
    <xdr:to>
      <xdr:col>7</xdr:col>
      <xdr:colOff>57150</xdr:colOff>
      <xdr:row>27</xdr:row>
      <xdr:rowOff>66675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471487</xdr:colOff>
      <xdr:row>29</xdr:row>
      <xdr:rowOff>109537</xdr:rowOff>
    </xdr:from>
    <xdr:to>
      <xdr:col>6</xdr:col>
      <xdr:colOff>538162</xdr:colOff>
      <xdr:row>43</xdr:row>
      <xdr:rowOff>185737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12</xdr:row>
      <xdr:rowOff>185737</xdr:rowOff>
    </xdr:from>
    <xdr:to>
      <xdr:col>7</xdr:col>
      <xdr:colOff>57150</xdr:colOff>
      <xdr:row>27</xdr:row>
      <xdr:rowOff>66675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471487</xdr:colOff>
      <xdr:row>29</xdr:row>
      <xdr:rowOff>109537</xdr:rowOff>
    </xdr:from>
    <xdr:to>
      <xdr:col>6</xdr:col>
      <xdr:colOff>538162</xdr:colOff>
      <xdr:row>43</xdr:row>
      <xdr:rowOff>185737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12</xdr:row>
      <xdr:rowOff>185737</xdr:rowOff>
    </xdr:from>
    <xdr:to>
      <xdr:col>7</xdr:col>
      <xdr:colOff>57150</xdr:colOff>
      <xdr:row>27</xdr:row>
      <xdr:rowOff>66675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471487</xdr:colOff>
      <xdr:row>29</xdr:row>
      <xdr:rowOff>109537</xdr:rowOff>
    </xdr:from>
    <xdr:to>
      <xdr:col>6</xdr:col>
      <xdr:colOff>538162</xdr:colOff>
      <xdr:row>43</xdr:row>
      <xdr:rowOff>185737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12</xdr:row>
      <xdr:rowOff>185737</xdr:rowOff>
    </xdr:from>
    <xdr:to>
      <xdr:col>7</xdr:col>
      <xdr:colOff>57150</xdr:colOff>
      <xdr:row>27</xdr:row>
      <xdr:rowOff>66675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23811</xdr:colOff>
      <xdr:row>39</xdr:row>
      <xdr:rowOff>147637</xdr:rowOff>
    </xdr:from>
    <xdr:to>
      <xdr:col>7</xdr:col>
      <xdr:colOff>66674</xdr:colOff>
      <xdr:row>54</xdr:row>
      <xdr:rowOff>33337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rnaud" refreshedDate="41554.356369097222" createdVersion="4" refreshedVersion="4" minRefreshableVersion="3" recordCount="89">
  <cacheSource type="worksheet">
    <worksheetSource name="source"/>
  </cacheSource>
  <cacheFields count="18">
    <cacheField name="Elément" numFmtId="0">
      <sharedItems count="111">
        <s v="Nombre de salariés"/>
        <s v="COMPTES CLIENTS - BATIGAM RECURRENT"/>
        <s v="COMPTES CLIENTS - BATIGAM NEW (CG+CR)"/>
        <s v="COMPTES CLIENTS - BATIGAM NEW (EHPAD/Foyers)"/>
        <s v="COMPTES CLIENTS - BATIGAM NEW (Hotellerie)"/>
        <s v="COMPTES CLIENTS - BATIGAM NEW (Universités)"/>
        <s v="COMPTES CLIENTS - BATIGAM NEW (Communes)"/>
        <s v="COMPTES CLIENTS - BATIGAM NEW (Coommunauté CA CC CU)"/>
        <s v="COMPTES CLIENTS - BATIGAM NEW (SYNDIC / GD PUBLIC)"/>
        <s v="2.1 CA BATIGAM"/>
        <s v="COMPTES CLIENTS - DIAG FEDE ESH"/>
        <s v="COMPTES CLIENTS - DIAG FEDE ESH (Frais) (%CA FEDE)"/>
        <s v="COMPTES CLIENTS - DIAG BAILLEURS (EN DIRECT)"/>
        <s v="COMPTES CLIENTS - DIAG COLLECTIVITES (EPLE)"/>
        <s v="COMPTES CLIENTS - AMO DCE (DIAG+DCE)"/>
        <s v="2.2 CA DIAGNOSTIC/EXPERTISE"/>
        <s v="COMPTES CLIENTS - BATIGAM FORMATIONS UTILISATEUR "/>
        <s v="COMPTES CLIENTS - BATIGAM FORMATIONS EXPERTISE"/>
        <s v="COMPTES CLIENTS - BAILLEURS FORMATIONS GARDIENS"/>
        <s v="COMPTES CLIENTS - BAILLEURS FORMATIONS TECHNICIENS"/>
        <s v="2.3 CA FORMATION"/>
        <s v="2.4 CA ENCOURS DE PRODUCTION"/>
        <s v="CHIFFRE D'AFFAIRES"/>
        <s v="SOUS TRAITANCE (EXPERTISE)"/>
        <s v="SOUS TRAITANCE (DIAGNOSTIC)"/>
        <s v="SOUS TRAITANCE (AUTRE)"/>
        <s v="3.1 SOUS- TRAITANCE"/>
        <s v="DEPLACEMENTS MISSIONS ESH (Refacturables + 19,6%)"/>
        <s v="DEPLACEMENTS FORMATIONS (% CA FORMATIONS)"/>
        <s v="DEPLACEMENTS COMMERCIAL"/>
        <s v="COUT VEHICULE"/>
        <s v="3.2 FRAIS DEPLACEMENT"/>
        <s v="CHARGES DE PERSONNEL - SALAIRES POLE DIRECTION"/>
        <s v="CHARGES DE PERSONNEL - SALAIRES POLE BATIGAM"/>
        <s v="CHARGES DE PERSONNEL - SALAIRES POLE INFORMATIQUE"/>
        <s v="CHARGES DE PERSONNEL - SALAIRES POLE EXPERTISE"/>
        <s v="CHARGES DE PERSONNEL - SALAIRE - COTIS SOCIALES (% SALAIRES)"/>
        <s v="CHARGES DE PERSONNEL - TICKETS (/Salarié)"/>
        <s v="CHARGES DE PERSONNEL - MEDECINE TRAV (/Salarié)"/>
        <s v="3.3 PERSONNEL"/>
        <s v="3.4 ASSURANCE RC"/>
        <s v="FRAIS DIRECTS (=SOUS-TRAITANCE+PERSONNEL+FRAIS DEP)"/>
        <s v="MARGE BRUTE (=CA-FRAIS DIRECTS)"/>
        <s v="%  MARGE  BRUTE / CA"/>
        <s v="BUREAUX EDF"/>
        <s v="BUREAUX LOYERS"/>
        <s v="BUREAUX LOYERS CHARGES"/>
        <s v="BUREAUX NETTOYAGE"/>
        <s v="4.1 LOCAUX"/>
        <s v="ABONNEMENT LEMONITEUR"/>
        <s v="ABONNEMENT FRANSEL (SITESECURITE)"/>
        <s v="ABONNEMENT ISLLIGHT"/>
        <s v="ABONNEMENT NETEOR"/>
        <s v="ABONNEMENT DIVERS"/>
        <s v="ABONNEMENT APP (PROTECTION PROG)"/>
        <s v="BUREAUX FOURNITURE"/>
        <s v="4.2 CHARGES ADMINISTRATIVES"/>
        <s v="HONORAIRES PLATEFORME INSTITUTIONNELLE / MARKETING"/>
        <s v="HONORAIRES NETEOR"/>
        <s v="HONORAIRES Prestations Groupe"/>
        <s v="HONORAIRES Expertise Comptable"/>
        <s v="HONORAIRES IMPRESSIONS CLASSEURS"/>
        <s v="4.3 HONORAIRES"/>
        <s v="OVH - NOMS DE DOMAINE"/>
        <s v="OVH - HEBERGEMENT"/>
        <s v=" TELEPHONE FIXE / INTERNET"/>
        <s v=" TELEPHONE PORTABLES FLOTTE"/>
        <s v="LOCAL - SERVEUR - BACKUP (Changement tous les deux ans)"/>
        <s v="LOGICIEL(/Salarié * 0,25 (Changement tous les quatre ans)"/>
        <s v="MATERIEL (/ Salarié * 0,5 (changement tous les deux ans)"/>
        <s v="4.4 FRAIS INFORMATIQUES &amp; TELEPHONIE"/>
        <s v="PLATEFORME WEB"/>
        <s v="4.5 DOTATIONS AMORTISSEMENTS"/>
        <s v="CHARGES D'EXPLOITATIONS"/>
        <s v="%  CHARGES D'EXPLOITATION / CA"/>
        <s v="RESULTAT D'EXPLOITATION"/>
        <s v="%  RESULTAT D'EXPLOITATION / CA"/>
        <s v="PRODUIT FINANCIER "/>
        <s v="5.1 PRODUITS FINANCIERS"/>
        <s v="CHARGE FINANCIERE"/>
        <s v="5.2 CHARGES FINANCIERES"/>
        <s v="RESULTAT FINANCIER"/>
        <s v="PRODUIT EXCEPTIONNEL"/>
        <s v="6.1 PRODUITS EXCEPTIONNELS"/>
        <s v="CHARGE EXCEPTIONNELLE"/>
        <s v="6.2 CHARGES EXCEPTIONNELLES"/>
        <s v="RESULTAT EXCEPTIONNEL"/>
        <s v="RESULTAT COURANT"/>
        <s v="%  RESULTAT COURANT / CA"/>
        <s v="CHARGES EXCEPTIONNELLES" u="1"/>
        <s v="COMPTES CLIENTS - BAILLEURS FORMATIONS" u="1"/>
        <s v="COMPTES CLIENTS - BAILLEURS" u="1"/>
        <s v="COMPTES CLIENTS - COLLECTIVITES" u="1"/>
        <s v="PRODUITS FINANCIERS" u="1"/>
        <s v="PERSONNEL" u="1"/>
        <s v="LOCAUX" u="1"/>
        <s v="HONORAIRES GRAPHISTE" u="1"/>
        <s v="COMPTES CLIENTS - BATIGAM FORMATIONS" u="1"/>
        <s v="CA FORMATION" u="1"/>
        <s v="ASSURANCE RC" u="1"/>
        <s v="DOTATIONS AMORTISSEMENTS" u="1"/>
        <s v="SOUS- TRAITANCE" u="1"/>
        <s v="FRAIS INFORMATIQUES &amp; TELEPHONIE" u="1"/>
        <s v="CA ENCOURS DE PRODUCTION" u="1"/>
        <s v="PRODUITS EXCEPTIONNELS" u="1"/>
        <s v="HONORAIRES" u="1"/>
        <s v="CHARGES FINANCIERES" u="1"/>
        <s v="CA BATIGAM" u="1"/>
        <s v="CA DIAGNOSTIC/EXPERTISE" u="1"/>
        <s v="FRAIS DEPLACEMENT" u="1"/>
        <s v="CHARGES ADMINISTRATIVES" u="1"/>
      </sharedItems>
    </cacheField>
    <cacheField name="2009/2010" numFmtId="0">
      <sharedItems containsString="0" containsBlank="1" containsNumber="1" minValue="-645" maxValue="376492.65"/>
    </cacheField>
    <cacheField name="2010/2011" numFmtId="0">
      <sharedItems containsString="0" containsBlank="1" containsNumber="1" minValue="-22784.900000000023" maxValue="339082.8"/>
    </cacheField>
    <cacheField name="2011/2012" numFmtId="0">
      <sharedItems containsString="0" containsBlank="1" containsNumber="1" minValue="-45505.669999999984" maxValue="372708.5"/>
    </cacheField>
    <cacheField name="2012/2013" numFmtId="0">
      <sharedItems containsSemiMixedTypes="0" containsString="0" containsNumber="1" minValue="-48.849999999976717" maxValue="376144"/>
    </cacheField>
    <cacheField name="Perspective_x000a_Pourcentage" numFmtId="0">
      <sharedItems containsString="0" containsBlank="1" containsNumber="1" minValue="-325.1500511772262" maxValue="411.52487055447875"/>
    </cacheField>
    <cacheField name="Evolution_x000a_Intermédiaire" numFmtId="0">
      <sharedItems containsString="0" containsBlank="1" containsNumber="1" minValue="0" maxValue="386000"/>
    </cacheField>
    <cacheField name="Perspective_x000a_Valeur" numFmtId="0">
      <sharedItems containsString="0" containsBlank="1" containsNumber="1" minValue="-43000" maxValue="75000"/>
    </cacheField>
    <cacheField name="2013/2014" numFmtId="0">
      <sharedItems containsString="0" containsBlank="1" containsNumber="1" minValue="0" maxValue="502314"/>
    </cacheField>
    <cacheField name="Perspective_x000a_Pourcentage2" numFmtId="0">
      <sharedItems containsString="0" containsBlank="1" containsNumber="1" minValue="-4.2278162958465093E-2" maxValue="344.01100408578912"/>
    </cacheField>
    <cacheField name="Evolution_x000a_Intermédiaire2" numFmtId="0">
      <sharedItems containsString="0" containsBlank="1" containsNumber="1" minValue="0" maxValue="540114"/>
    </cacheField>
    <cacheField name="Perspective_x000a_Valeur2" numFmtId="0">
      <sharedItems containsString="0" containsBlank="1" containsNumber="1" minValue="-27.658684833421397" maxValue="45000"/>
    </cacheField>
    <cacheField name="2014/2015" numFmtId="0">
      <sharedItems containsString="0" containsBlank="1" containsNumber="1" minValue="0" maxValue="596495"/>
    </cacheField>
    <cacheField name="Perspective_x000a_Pourcentage3" numFmtId="0">
      <sharedItems containsString="0" containsBlank="1" containsNumber="1" minValue="-4.4306893950210813E-2" maxValue="200.03154806387425"/>
    </cacheField>
    <cacheField name="Evolution_x000a_Intermédiaire3" numFmtId="0">
      <sharedItems containsString="0" containsBlank="1" containsNumber="1" minValue="0" maxValue="643265"/>
    </cacheField>
    <cacheField name="Perspective_x000a_Valeur3" numFmtId="0">
      <sharedItems containsString="0" containsBlank="1" containsNumber="1" minValue="-27.69576891858955" maxValue="45000"/>
    </cacheField>
    <cacheField name="2015/1016" numFmtId="0">
      <sharedItems containsString="0" containsBlank="1" containsNumber="1" minValue="0" maxValue="704714.25"/>
    </cacheField>
    <cacheField name="Index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x v="0"/>
    <n v="2"/>
    <n v="3"/>
    <n v="3"/>
    <n v="5"/>
    <m/>
    <m/>
    <m/>
    <n v="5"/>
    <m/>
    <m/>
    <m/>
    <n v="5"/>
    <m/>
    <m/>
    <m/>
    <n v="5"/>
    <m/>
  </r>
  <r>
    <x v="1"/>
    <m/>
    <m/>
    <m/>
    <n v="110000"/>
    <n v="0.1"/>
    <n v="121000.00000000001"/>
    <n v="0"/>
    <n v="121000.00000000001"/>
    <n v="0.1"/>
    <n v="133100.00000000003"/>
    <n v="0"/>
    <n v="133100.00000000003"/>
    <n v="0.1"/>
    <n v="146410.00000000006"/>
    <n v="0"/>
    <n v="146410.00000000006"/>
    <m/>
  </r>
  <r>
    <x v="2"/>
    <m/>
    <m/>
    <m/>
    <n v="35000"/>
    <n v="0"/>
    <n v="35000"/>
    <n v="0"/>
    <n v="35000"/>
    <n v="0.1"/>
    <n v="38500"/>
    <n v="0"/>
    <n v="38500"/>
    <n v="0.1"/>
    <n v="42350"/>
    <n v="0"/>
    <n v="42350"/>
    <m/>
  </r>
  <r>
    <x v="3"/>
    <m/>
    <m/>
    <m/>
    <n v="0"/>
    <n v="0"/>
    <n v="0"/>
    <n v="30000"/>
    <n v="30000"/>
    <n v="0.1"/>
    <n v="33000"/>
    <n v="0"/>
    <n v="33000"/>
    <n v="0.1"/>
    <n v="36300"/>
    <n v="0"/>
    <n v="36300"/>
    <m/>
  </r>
  <r>
    <x v="4"/>
    <m/>
    <m/>
    <m/>
    <n v="0"/>
    <n v="0"/>
    <n v="0"/>
    <n v="0"/>
    <n v="10000"/>
    <n v="0.1"/>
    <n v="11000"/>
    <n v="0"/>
    <n v="11000"/>
    <n v="0.1"/>
    <n v="12100.000000000002"/>
    <n v="0"/>
    <n v="12100.000000000002"/>
    <m/>
  </r>
  <r>
    <x v="5"/>
    <m/>
    <m/>
    <m/>
    <n v="0"/>
    <n v="0"/>
    <n v="0"/>
    <n v="15000"/>
    <n v="15000"/>
    <n v="0.1"/>
    <n v="16500"/>
    <n v="15000"/>
    <n v="31500"/>
    <n v="0.1"/>
    <n v="34650"/>
    <n v="15000"/>
    <n v="49650"/>
    <m/>
  </r>
  <r>
    <x v="6"/>
    <m/>
    <m/>
    <m/>
    <n v="0"/>
    <n v="0"/>
    <n v="0"/>
    <n v="15000"/>
    <n v="15000"/>
    <n v="0.1"/>
    <n v="16500"/>
    <n v="15000"/>
    <n v="31500"/>
    <n v="0.1"/>
    <n v="34650"/>
    <n v="15000"/>
    <n v="49650"/>
    <m/>
  </r>
  <r>
    <x v="7"/>
    <m/>
    <m/>
    <m/>
    <n v="0"/>
    <n v="0"/>
    <n v="0"/>
    <n v="15000"/>
    <n v="15000"/>
    <n v="0.1"/>
    <n v="16500"/>
    <n v="15000"/>
    <n v="31500"/>
    <n v="0.1"/>
    <n v="34650"/>
    <n v="15000"/>
    <n v="49650"/>
    <m/>
  </r>
  <r>
    <x v="8"/>
    <m/>
    <m/>
    <m/>
    <n v="0"/>
    <n v="0"/>
    <n v="0"/>
    <n v="0"/>
    <n v="0"/>
    <n v="0"/>
    <n v="0"/>
    <n v="0"/>
    <n v="0"/>
    <n v="0"/>
    <n v="0"/>
    <n v="0"/>
    <n v="0"/>
    <m/>
  </r>
  <r>
    <x v="9"/>
    <n v="331492.65000000002"/>
    <n v="151739.89000000001"/>
    <n v="232741.48000000004"/>
    <n v="145000"/>
    <n v="7.5862068965517171E-2"/>
    <n v="156000"/>
    <n v="75000"/>
    <n v="241000"/>
    <n v="0.10000000000000009"/>
    <n v="265100"/>
    <n v="45000"/>
    <n v="310100"/>
    <n v="0.10000000000000009"/>
    <n v="341110.00000000006"/>
    <n v="45000"/>
    <n v="386110.00000000006"/>
    <s v="Chapitre 2.1"/>
  </r>
  <r>
    <x v="10"/>
    <m/>
    <m/>
    <m/>
    <n v="130000"/>
    <n v="0.05"/>
    <n v="136500"/>
    <n v="0"/>
    <n v="136500"/>
    <n v="0.05"/>
    <n v="143325"/>
    <n v="0"/>
    <n v="143325"/>
    <n v="0.05"/>
    <n v="150491.25"/>
    <n v="0"/>
    <n v="150491.25"/>
    <m/>
  </r>
  <r>
    <x v="11"/>
    <m/>
    <m/>
    <m/>
    <n v="26000"/>
    <m/>
    <n v="26000"/>
    <m/>
    <n v="27300"/>
    <m/>
    <n v="27300"/>
    <m/>
    <n v="28665"/>
    <m/>
    <n v="28665"/>
    <m/>
    <n v="30098.25"/>
    <m/>
  </r>
  <r>
    <x v="12"/>
    <m/>
    <m/>
    <m/>
    <n v="35000"/>
    <n v="0"/>
    <n v="35000"/>
    <n v="30000"/>
    <n v="65000"/>
    <n v="0"/>
    <n v="65000"/>
    <n v="2"/>
    <n v="65002"/>
    <n v="0"/>
    <n v="65002"/>
    <n v="2"/>
    <n v="65004"/>
    <m/>
  </r>
  <r>
    <x v="13"/>
    <m/>
    <m/>
    <m/>
    <n v="0"/>
    <n v="0"/>
    <n v="0"/>
    <n v="3"/>
    <n v="3"/>
    <n v="0"/>
    <n v="3"/>
    <n v="3"/>
    <n v="6"/>
    <n v="0"/>
    <n v="6"/>
    <n v="3"/>
    <n v="9"/>
    <m/>
  </r>
  <r>
    <x v="14"/>
    <m/>
    <m/>
    <m/>
    <n v="0"/>
    <n v="0"/>
    <n v="0"/>
    <n v="3"/>
    <n v="3"/>
    <n v="0"/>
    <n v="3"/>
    <n v="3"/>
    <n v="6"/>
    <n v="0"/>
    <n v="6"/>
    <n v="3"/>
    <n v="9"/>
    <m/>
  </r>
  <r>
    <x v="15"/>
    <n v="45000"/>
    <n v="149340.66999999998"/>
    <n v="164362.37"/>
    <n v="191000"/>
    <n v="3.4031413612565453E-2"/>
    <n v="197500"/>
    <n v="30006"/>
    <n v="228806"/>
    <n v="2.9828763231733335E-2"/>
    <n v="235631"/>
    <n v="8"/>
    <n v="237004"/>
    <n v="3.0236831445882739E-2"/>
    <n v="244170.25"/>
    <n v="8"/>
    <n v="245611.5"/>
    <s v="Chapitre 2.2"/>
  </r>
  <r>
    <x v="16"/>
    <m/>
    <m/>
    <m/>
    <n v="22000"/>
    <n v="0.25"/>
    <n v="27500"/>
    <n v="0"/>
    <n v="27500"/>
    <n v="0.25"/>
    <n v="34375"/>
    <n v="0"/>
    <n v="34375"/>
    <n v="0.25"/>
    <n v="42968.75"/>
    <n v="0"/>
    <n v="42968.75"/>
    <m/>
  </r>
  <r>
    <x v="17"/>
    <m/>
    <m/>
    <m/>
    <n v="5000"/>
    <n v="0"/>
    <n v="5000"/>
    <n v="0"/>
    <n v="5000"/>
    <n v="0"/>
    <n v="5000"/>
    <n v="10000"/>
    <n v="15000"/>
    <n v="0"/>
    <n v="15000"/>
    <n v="15000"/>
    <n v="30000"/>
    <m/>
  </r>
  <r>
    <x v="18"/>
    <m/>
    <m/>
    <m/>
    <n v="0"/>
    <n v="0"/>
    <n v="0"/>
    <n v="4"/>
    <n v="4"/>
    <n v="0"/>
    <n v="4"/>
    <n v="4"/>
    <n v="8"/>
    <n v="0"/>
    <n v="8"/>
    <n v="4"/>
    <n v="12"/>
    <m/>
  </r>
  <r>
    <x v="19"/>
    <m/>
    <m/>
    <m/>
    <n v="0"/>
    <n v="0"/>
    <n v="0"/>
    <n v="4"/>
    <n v="4"/>
    <n v="0"/>
    <n v="4"/>
    <n v="4"/>
    <n v="8"/>
    <n v="0"/>
    <n v="8"/>
    <n v="4"/>
    <n v="12"/>
    <m/>
  </r>
  <r>
    <x v="20"/>
    <n v="0"/>
    <n v="10102.24"/>
    <n v="4737.6499999999996"/>
    <n v="27000"/>
    <n v="0.20370370370370372"/>
    <n v="32500"/>
    <n v="8"/>
    <n v="32508"/>
    <n v="0.21148640334686841"/>
    <n v="39383"/>
    <n v="10008"/>
    <n v="49391"/>
    <n v="0.17399424996456836"/>
    <n v="57984.75"/>
    <n v="15008"/>
    <n v="72992.75"/>
    <s v="Chapitre 2.3"/>
  </r>
  <r>
    <x v="21"/>
    <n v="0"/>
    <n v="27900"/>
    <n v="-29133"/>
    <n v="13144"/>
    <m/>
    <m/>
    <m/>
    <m/>
    <m/>
    <m/>
    <m/>
    <m/>
    <m/>
    <m/>
    <m/>
    <m/>
    <s v="Chapitre 2.4"/>
  </r>
  <r>
    <x v="22"/>
    <n v="376492.65"/>
    <n v="339082.8"/>
    <n v="372708.5"/>
    <n v="376144"/>
    <n v="0.20370370370370372"/>
    <n v="386000"/>
    <n v="0.31359718628178634"/>
    <n v="502314"/>
    <n v="0.21148640334686841"/>
    <n v="540114"/>
    <n v="0.34131516657860184"/>
    <n v="596495"/>
    <n v="0.17399424996456836"/>
    <n v="643265"/>
    <n v="0.30423108141045119"/>
    <n v="704714.25"/>
    <m/>
  </r>
  <r>
    <x v="23"/>
    <m/>
    <m/>
    <m/>
    <n v="0"/>
    <n v="0"/>
    <n v="0"/>
    <n v="4"/>
    <n v="4"/>
    <n v="0"/>
    <n v="4"/>
    <n v="4"/>
    <n v="8"/>
    <n v="0"/>
    <n v="8"/>
    <n v="4"/>
    <n v="12"/>
    <m/>
  </r>
  <r>
    <x v="24"/>
    <m/>
    <m/>
    <m/>
    <n v="5000"/>
    <n v="0"/>
    <n v="5000"/>
    <n v="4"/>
    <n v="5004"/>
    <n v="0"/>
    <n v="5004"/>
    <n v="4"/>
    <n v="5008"/>
    <n v="0"/>
    <n v="5008"/>
    <n v="4"/>
    <n v="5012"/>
    <m/>
  </r>
  <r>
    <x v="25"/>
    <m/>
    <m/>
    <m/>
    <n v="0"/>
    <n v="0"/>
    <n v="0"/>
    <n v="4"/>
    <n v="4"/>
    <n v="0"/>
    <n v="4"/>
    <n v="4"/>
    <n v="8"/>
    <n v="0"/>
    <n v="8"/>
    <n v="4"/>
    <n v="12"/>
    <m/>
  </r>
  <r>
    <x v="26"/>
    <n v="126191.09"/>
    <n v="38681.699999999997"/>
    <n v="62300.17"/>
    <n v="5000"/>
    <n v="0"/>
    <n v="5000"/>
    <n v="12"/>
    <n v="5012"/>
    <n v="0"/>
    <n v="5012"/>
    <n v="12"/>
    <n v="5024"/>
    <n v="0"/>
    <n v="5024"/>
    <n v="12"/>
    <n v="5036"/>
    <s v="Chapitre 3.1"/>
  </r>
  <r>
    <x v="27"/>
    <m/>
    <m/>
    <m/>
    <n v="20904"/>
    <m/>
    <n v="20904"/>
    <m/>
    <n v="21949.200000000001"/>
    <m/>
    <n v="21949.200000000001"/>
    <m/>
    <n v="23046.66"/>
    <m/>
    <n v="23046.66"/>
    <m/>
    <n v="24198.993000000002"/>
    <m/>
  </r>
  <r>
    <x v="28"/>
    <m/>
    <m/>
    <m/>
    <n v="4050"/>
    <m/>
    <n v="4050"/>
    <m/>
    <n v="4876.2"/>
    <m/>
    <n v="4876.2"/>
    <m/>
    <n v="7408.65"/>
    <m/>
    <n v="7408.65"/>
    <m/>
    <n v="10948.9125"/>
    <m/>
  </r>
  <r>
    <x v="29"/>
    <m/>
    <m/>
    <m/>
    <n v="2500"/>
    <n v="0"/>
    <n v="2500"/>
    <n v="4"/>
    <n v="2504"/>
    <n v="0"/>
    <n v="2504"/>
    <n v="4"/>
    <n v="2508"/>
    <n v="0"/>
    <n v="2508"/>
    <n v="4"/>
    <n v="2512"/>
    <m/>
  </r>
  <r>
    <x v="30"/>
    <m/>
    <m/>
    <m/>
    <n v="500"/>
    <n v="0"/>
    <n v="500"/>
    <n v="4"/>
    <n v="504"/>
    <n v="0"/>
    <n v="504"/>
    <n v="4"/>
    <n v="508"/>
    <n v="0"/>
    <n v="508"/>
    <n v="4"/>
    <n v="512"/>
    <m/>
  </r>
  <r>
    <x v="31"/>
    <n v="16445"/>
    <n v="35233"/>
    <n v="38577"/>
    <n v="27454"/>
    <n v="1.8212282363225807E-2"/>
    <n v="27954"/>
    <n v="4"/>
    <n v="29833.4"/>
    <n v="0"/>
    <n v="29833.4"/>
    <n v="8"/>
    <n v="33471.31"/>
    <n v="0"/>
    <n v="33471.31"/>
    <n v="8"/>
    <n v="38171.905500000001"/>
    <s v="Chapitre 3.2"/>
  </r>
  <r>
    <x v="32"/>
    <m/>
    <m/>
    <m/>
    <n v="67000"/>
    <n v="0.04"/>
    <n v="69680"/>
    <n v="4"/>
    <n v="69684"/>
    <n v="0.04"/>
    <n v="72471.360000000001"/>
    <n v="4"/>
    <n v="72475.360000000001"/>
    <n v="0.08"/>
    <n v="78273.388800000001"/>
    <n v="4"/>
    <n v="78277.388800000001"/>
    <m/>
  </r>
  <r>
    <x v="33"/>
    <m/>
    <m/>
    <m/>
    <n v="34800"/>
    <n v="0.04"/>
    <n v="36192"/>
    <n v="0"/>
    <n v="36192"/>
    <n v="0.04"/>
    <n v="37639.68"/>
    <n v="4"/>
    <n v="37643.68"/>
    <n v="0.08"/>
    <n v="40655.174400000004"/>
    <n v="4"/>
    <n v="40659.174400000004"/>
    <m/>
  </r>
  <r>
    <x v="34"/>
    <m/>
    <m/>
    <m/>
    <n v="23336"/>
    <n v="0.04"/>
    <n v="24269.440000000002"/>
    <n v="11668"/>
    <n v="35937.440000000002"/>
    <n v="0.04"/>
    <n v="37374.937600000005"/>
    <n v="0"/>
    <n v="37374.937600000005"/>
    <n v="0.08"/>
    <n v="40364.93260800001"/>
    <n v="0"/>
    <n v="40364.93260800001"/>
    <m/>
  </r>
  <r>
    <x v="35"/>
    <m/>
    <m/>
    <m/>
    <n v="32247"/>
    <n v="0.04"/>
    <n v="33536.880000000005"/>
    <n v="10749"/>
    <n v="44285.880000000005"/>
    <n v="0.04"/>
    <n v="46057.315200000005"/>
    <n v="0"/>
    <n v="46057.315200000005"/>
    <n v="0.08"/>
    <n v="49741.900416000011"/>
    <n v="0"/>
    <n v="49741.900416000011"/>
    <m/>
  </r>
  <r>
    <x v="36"/>
    <m/>
    <m/>
    <m/>
    <n v="70822.350000000006"/>
    <m/>
    <n v="70822.350000000006"/>
    <m/>
    <n v="83744.694000000003"/>
    <m/>
    <n v="83744.694000000003"/>
    <m/>
    <n v="87098.081760000015"/>
    <m/>
    <n v="87098.081760000015"/>
    <m/>
    <n v="94069.528300800011"/>
    <m/>
  </r>
  <r>
    <x v="37"/>
    <m/>
    <m/>
    <m/>
    <n v="5130"/>
    <m/>
    <n v="5130"/>
    <m/>
    <n v="5130"/>
    <m/>
    <n v="5130"/>
    <m/>
    <n v="5130"/>
    <m/>
    <n v="5130"/>
    <m/>
    <n v="5130"/>
    <m/>
  </r>
  <r>
    <x v="38"/>
    <m/>
    <m/>
    <m/>
    <n v="750"/>
    <m/>
    <n v="750"/>
    <m/>
    <n v="750"/>
    <m/>
    <n v="750"/>
    <m/>
    <n v="750"/>
    <m/>
    <n v="750"/>
    <m/>
    <n v="750"/>
    <m/>
  </r>
  <r>
    <x v="39"/>
    <n v="103960"/>
    <n v="183447"/>
    <n v="188783"/>
    <n v="234085.35"/>
    <n v="2.689326777604828E-2"/>
    <n v="240380.67"/>
    <n v="22421"/>
    <n v="275724.01400000002"/>
    <n v="2.6997912485054565E-2"/>
    <n v="283167.98680000001"/>
    <n v="8"/>
    <n v="286529.37456000003"/>
    <n v="5.4040195521934509E-2"/>
    <n v="302013.47798400006"/>
    <n v="8"/>
    <n v="308992.92452480004"/>
    <s v="Chapitre 3.3"/>
  </r>
  <r>
    <x v="40"/>
    <n v="2860"/>
    <n v="2749"/>
    <n v="2911"/>
    <n v="3000"/>
    <n v="0"/>
    <n v="3000"/>
    <n v="0"/>
    <n v="3000"/>
    <n v="0"/>
    <n v="3000"/>
    <n v="0"/>
    <n v="3000"/>
    <n v="0"/>
    <n v="3000"/>
    <n v="0"/>
    <n v="3000"/>
    <s v="Chapitre 3.4"/>
  </r>
  <r>
    <x v="41"/>
    <n v="249456.09"/>
    <n v="260110.7"/>
    <n v="292571.17"/>
    <n v="269539.34999999998"/>
    <n v="2.5210864387704701E-2"/>
    <n v="276334.67000000004"/>
    <n v="22437"/>
    <n v="313569.41400000005"/>
    <n v="2.3739473518931797E-2"/>
    <n v="321013.38680000004"/>
    <n v="28"/>
    <n v="328024.68456000002"/>
    <n v="4.720407991480835E-2"/>
    <n v="343508.78798400005"/>
    <n v="28"/>
    <n v="355200.83002480003"/>
    <m/>
  </r>
  <r>
    <x v="42"/>
    <n v="127036.56000000003"/>
    <n v="78972.099999999977"/>
    <n v="80137.330000000016"/>
    <n v="106604.65000000002"/>
    <n v="2.8710567503386963E-2"/>
    <n v="109665.32999999996"/>
    <n v="-22436.686402813717"/>
    <n v="188744.58599999995"/>
    <n v="0.1608312473662159"/>
    <n v="219100.61319999996"/>
    <n v="-27.658684833421397"/>
    <n v="268470.31543999998"/>
    <n v="0.11653391372049859"/>
    <n v="299756.21201599995"/>
    <n v="-27.69576891858955"/>
    <n v="349513.41997519997"/>
    <m/>
  </r>
  <r>
    <x v="43"/>
    <n v="0.3374210890969585"/>
    <n v="0.23289916209256259"/>
    <n v="0.21501342201747484"/>
    <n v="0.28341446360968148"/>
    <n v="6.9260892917849537"/>
    <n v="0.28410707253885997"/>
    <m/>
    <n v="0.37575020007405718"/>
    <n v="299.06037683156973"/>
    <n v="0.40565623775721416"/>
    <m/>
    <n v="0.45007974155692837"/>
    <n v="159.12053451349607"/>
    <n v="0.46599179500827798"/>
    <m/>
    <n v="0.49596474028331339"/>
    <m/>
  </r>
  <r>
    <x v="44"/>
    <m/>
    <m/>
    <m/>
    <n v="750"/>
    <n v="0.05"/>
    <n v="787.5"/>
    <n v="4"/>
    <n v="791.5"/>
    <n v="0.05"/>
    <n v="831.07500000000005"/>
    <n v="4"/>
    <n v="835.07500000000005"/>
    <n v="0.05"/>
    <n v="876.82875000000013"/>
    <n v="4"/>
    <n v="880.82875000000013"/>
    <m/>
  </r>
  <r>
    <x v="45"/>
    <m/>
    <m/>
    <m/>
    <n v="13000"/>
    <n v="0.05"/>
    <n v="13650"/>
    <n v="4"/>
    <n v="13654"/>
    <n v="0.05"/>
    <n v="14336.7"/>
    <n v="4"/>
    <n v="14340.7"/>
    <n v="0.05"/>
    <n v="15057.735000000001"/>
    <n v="4"/>
    <n v="15061.735000000001"/>
    <m/>
  </r>
  <r>
    <x v="46"/>
    <m/>
    <m/>
    <m/>
    <n v="4000"/>
    <n v="0.05"/>
    <n v="4200"/>
    <n v="4"/>
    <n v="4204"/>
    <n v="0.05"/>
    <n v="4414.2"/>
    <n v="4"/>
    <n v="4418.2"/>
    <n v="0.05"/>
    <n v="4639.1099999999997"/>
    <n v="4"/>
    <n v="4643.1099999999997"/>
    <m/>
  </r>
  <r>
    <x v="47"/>
    <m/>
    <m/>
    <m/>
    <n v="1200"/>
    <n v="0.05"/>
    <n v="1260"/>
    <n v="4"/>
    <n v="1264"/>
    <n v="0.05"/>
    <n v="1327.2"/>
    <n v="4"/>
    <n v="1331.2"/>
    <n v="0.05"/>
    <n v="1397.7600000000002"/>
    <n v="4"/>
    <n v="1401.7600000000002"/>
    <m/>
  </r>
  <r>
    <x v="48"/>
    <n v="13824"/>
    <n v="14211"/>
    <n v="18146"/>
    <n v="18950"/>
    <n v="5.0000000000000044E-2"/>
    <n v="19897.5"/>
    <n v="16"/>
    <n v="19913.5"/>
    <n v="5.0000000000000044E-2"/>
    <n v="20909.175000000003"/>
    <n v="16"/>
    <n v="20925.175000000003"/>
    <n v="5.0000000000000044E-2"/>
    <n v="21971.433750000004"/>
    <n v="16"/>
    <n v="21987.433750000004"/>
    <s v="Chapitre 4.1"/>
  </r>
  <r>
    <x v="49"/>
    <m/>
    <m/>
    <m/>
    <n v="1308"/>
    <n v="0.03"/>
    <n v="1347.24"/>
    <n v="4"/>
    <n v="1351.24"/>
    <n v="0.03"/>
    <n v="1391.7772"/>
    <n v="4"/>
    <n v="1395.7772"/>
    <n v="0.03"/>
    <n v="1437.6505159999999"/>
    <n v="4"/>
    <n v="1441.6505159999999"/>
    <m/>
  </r>
  <r>
    <x v="50"/>
    <m/>
    <m/>
    <m/>
    <n v="300"/>
    <n v="0.03"/>
    <n v="309"/>
    <n v="4"/>
    <n v="313"/>
    <n v="0.03"/>
    <n v="322.39"/>
    <n v="4"/>
    <n v="326.39"/>
    <n v="0.03"/>
    <n v="336.18169999999998"/>
    <n v="4"/>
    <n v="340.18169999999998"/>
    <m/>
  </r>
  <r>
    <x v="51"/>
    <m/>
    <m/>
    <m/>
    <n v="390"/>
    <n v="0.03"/>
    <n v="401.7"/>
    <n v="4"/>
    <n v="405.7"/>
    <n v="0.03"/>
    <n v="417.87099999999998"/>
    <n v="4"/>
    <n v="421.87099999999998"/>
    <n v="0.03"/>
    <n v="434.52713"/>
    <n v="4"/>
    <n v="438.52713"/>
    <m/>
  </r>
  <r>
    <x v="52"/>
    <m/>
    <m/>
    <m/>
    <n v="2191"/>
    <n v="-1"/>
    <n v="0"/>
    <n v="4"/>
    <n v="4"/>
    <n v="0.05"/>
    <n v="4.2"/>
    <n v="4"/>
    <n v="8.1999999999999993"/>
    <n v="0.05"/>
    <n v="8.61"/>
    <n v="4"/>
    <n v="12.61"/>
    <m/>
  </r>
  <r>
    <x v="53"/>
    <m/>
    <m/>
    <m/>
    <n v="1508"/>
    <n v="0.03"/>
    <n v="1553.24"/>
    <n v="4"/>
    <n v="1557.24"/>
    <n v="0.03"/>
    <n v="1603.9572000000001"/>
    <n v="4"/>
    <n v="1607.9572000000001"/>
    <n v="0.03"/>
    <n v="1656.1959160000001"/>
    <n v="4"/>
    <n v="1660.1959160000001"/>
    <m/>
  </r>
  <r>
    <x v="54"/>
    <m/>
    <m/>
    <m/>
    <n v="514"/>
    <n v="0.03"/>
    <n v="529.41999999999996"/>
    <n v="4"/>
    <n v="533.41999999999996"/>
    <n v="0.03"/>
    <n v="549.42259999999999"/>
    <n v="4"/>
    <n v="553.42259999999999"/>
    <n v="0.03"/>
    <n v="570.02527799999996"/>
    <n v="4"/>
    <n v="574.02527799999996"/>
    <m/>
  </r>
  <r>
    <x v="55"/>
    <m/>
    <m/>
    <m/>
    <n v="3000"/>
    <n v="0.1"/>
    <n v="3300.0000000000005"/>
    <n v="4"/>
    <n v="3304.0000000000005"/>
    <n v="0.1"/>
    <n v="3634.400000000001"/>
    <n v="4"/>
    <n v="3638.400000000001"/>
    <n v="0.1"/>
    <n v="4002.2400000000016"/>
    <n v="4"/>
    <n v="4006.2400000000016"/>
    <m/>
  </r>
  <r>
    <x v="56"/>
    <n v="6600"/>
    <n v="13764"/>
    <n v="21093"/>
    <n v="9211"/>
    <n v="-0.19220497231570943"/>
    <n v="7440.6"/>
    <n v="28"/>
    <n v="7468.6"/>
    <n v="6.0977693275848122E-2"/>
    <n v="7924.018"/>
    <n v="28"/>
    <n v="7952.018"/>
    <n v="6.2048720211649533E-2"/>
    <n v="8445.4305400000012"/>
    <n v="28"/>
    <n v="8473.4305400000012"/>
    <s v="Chapitre 4.2"/>
  </r>
  <r>
    <x v="57"/>
    <m/>
    <m/>
    <m/>
    <n v="6000"/>
    <n v="0"/>
    <n v="6000"/>
    <n v="4"/>
    <n v="6004"/>
    <n v="0"/>
    <n v="6004"/>
    <n v="4"/>
    <n v="6008"/>
    <n v="0"/>
    <n v="6008"/>
    <n v="4"/>
    <n v="6012"/>
    <m/>
  </r>
  <r>
    <x v="58"/>
    <m/>
    <m/>
    <m/>
    <n v="3000"/>
    <n v="0"/>
    <n v="3000"/>
    <n v="4"/>
    <n v="3004"/>
    <n v="0"/>
    <n v="3004"/>
    <n v="4"/>
    <n v="3008"/>
    <n v="0"/>
    <n v="3008"/>
    <n v="4"/>
    <n v="3012"/>
    <m/>
  </r>
  <r>
    <x v="59"/>
    <m/>
    <m/>
    <m/>
    <n v="12000"/>
    <n v="0"/>
    <n v="0"/>
    <n v="4"/>
    <n v="4"/>
    <n v="0"/>
    <n v="4"/>
    <n v="4"/>
    <n v="8"/>
    <n v="0"/>
    <n v="8"/>
    <n v="4"/>
    <n v="12"/>
    <m/>
  </r>
  <r>
    <x v="60"/>
    <m/>
    <m/>
    <m/>
    <n v="3000"/>
    <n v="0"/>
    <n v="3000"/>
    <n v="4"/>
    <n v="3004"/>
    <n v="0"/>
    <n v="3004"/>
    <n v="4"/>
    <n v="3008"/>
    <n v="0"/>
    <n v="3008"/>
    <n v="4"/>
    <n v="3012"/>
    <m/>
  </r>
  <r>
    <x v="61"/>
    <m/>
    <m/>
    <m/>
    <n v="0"/>
    <n v="0"/>
    <n v="0"/>
    <n v="4"/>
    <n v="4"/>
    <n v="0"/>
    <n v="4"/>
    <n v="4"/>
    <n v="8"/>
    <n v="0"/>
    <n v="8"/>
    <n v="4"/>
    <n v="12"/>
    <m/>
  </r>
  <r>
    <x v="62"/>
    <n v="75370"/>
    <n v="50307"/>
    <n v="43712"/>
    <n v="24000"/>
    <n v="-0.5"/>
    <n v="12000"/>
    <n v="20"/>
    <n v="12020"/>
    <n v="0"/>
    <n v="12020"/>
    <n v="20"/>
    <n v="12040"/>
    <n v="0"/>
    <n v="12040"/>
    <n v="20"/>
    <n v="12060"/>
    <s v="Chapitre 4.3"/>
  </r>
  <r>
    <x v="63"/>
    <m/>
    <m/>
    <m/>
    <n v="300"/>
    <n v="0"/>
    <n v="300"/>
    <n v="2500"/>
    <n v="2800"/>
    <n v="0.05"/>
    <n v="2940"/>
    <n v="4"/>
    <n v="2944"/>
    <n v="0.05"/>
    <n v="3091.2000000000003"/>
    <n v="4"/>
    <n v="3095.2000000000003"/>
    <m/>
  </r>
  <r>
    <x v="64"/>
    <m/>
    <m/>
    <m/>
    <n v="2000"/>
    <n v="0"/>
    <n v="2000"/>
    <n v="4"/>
    <n v="2004"/>
    <n v="0"/>
    <n v="2004"/>
    <n v="4"/>
    <n v="2008"/>
    <n v="0"/>
    <n v="2008"/>
    <n v="4"/>
    <n v="2012"/>
    <m/>
  </r>
  <r>
    <x v="65"/>
    <m/>
    <m/>
    <m/>
    <n v="1560"/>
    <n v="0"/>
    <n v="1560"/>
    <n v="4"/>
    <n v="1564"/>
    <n v="0"/>
    <n v="1564"/>
    <n v="4"/>
    <n v="1568"/>
    <n v="0"/>
    <n v="1568"/>
    <n v="4"/>
    <n v="1572"/>
    <m/>
  </r>
  <r>
    <x v="66"/>
    <m/>
    <m/>
    <m/>
    <n v="4320"/>
    <n v="0"/>
    <n v="4320"/>
    <n v="4"/>
    <n v="4324"/>
    <n v="0"/>
    <n v="4324"/>
    <n v="4"/>
    <n v="4328"/>
    <n v="0"/>
    <n v="4328"/>
    <n v="4"/>
    <n v="4332"/>
    <m/>
  </r>
  <r>
    <x v="67"/>
    <m/>
    <m/>
    <m/>
    <n v="375"/>
    <m/>
    <n v="375"/>
    <m/>
    <n v="375"/>
    <m/>
    <n v="375"/>
    <m/>
    <n v="375"/>
    <m/>
    <n v="375"/>
    <m/>
    <n v="375"/>
    <m/>
  </r>
  <r>
    <x v="68"/>
    <m/>
    <m/>
    <m/>
    <n v="437.5"/>
    <m/>
    <n v="437.5"/>
    <m/>
    <n v="437.5"/>
    <m/>
    <n v="437.5"/>
    <m/>
    <n v="437.5"/>
    <m/>
    <n v="437.5"/>
    <m/>
    <n v="437.5"/>
    <m/>
  </r>
  <r>
    <x v="69"/>
    <m/>
    <m/>
    <m/>
    <n v="2500"/>
    <m/>
    <n v="2500"/>
    <m/>
    <n v="2500"/>
    <m/>
    <n v="2500"/>
    <m/>
    <n v="2500"/>
    <m/>
    <n v="2500"/>
    <m/>
    <n v="2500"/>
    <m/>
  </r>
  <r>
    <x v="70"/>
    <n v="1953"/>
    <n v="4378"/>
    <n v="4708"/>
    <n v="11492.5"/>
    <n v="0"/>
    <n v="11492.5"/>
    <n v="2512"/>
    <n v="14004.5"/>
    <n v="9.9967867471169036E-3"/>
    <n v="14144.5"/>
    <n v="16"/>
    <n v="14160.5"/>
    <n v="1.0395113166907999E-2"/>
    <n v="14307.7"/>
    <n v="16"/>
    <n v="14323.7"/>
    <s v="Chapitre 4.4"/>
  </r>
  <r>
    <x v="71"/>
    <m/>
    <m/>
    <m/>
    <n v="43000"/>
    <n v="0"/>
    <n v="43000"/>
    <n v="-43000"/>
    <n v="0"/>
    <n v="0"/>
    <n v="0"/>
    <n v="0"/>
    <n v="0"/>
    <n v="0"/>
    <n v="0"/>
    <n v="0"/>
    <n v="0"/>
    <m/>
  </r>
  <r>
    <x v="72"/>
    <n v="17079"/>
    <n v="19097"/>
    <n v="37984"/>
    <n v="43000"/>
    <n v="0"/>
    <n v="43000"/>
    <n v="-43000"/>
    <n v="0"/>
    <n v="0"/>
    <n v="0"/>
    <n v="0"/>
    <n v="0"/>
    <n v="0"/>
    <n v="0"/>
    <n v="0"/>
    <n v="0"/>
    <s v="Chapitre 4.5"/>
  </r>
  <r>
    <x v="73"/>
    <n v="114826"/>
    <n v="101757"/>
    <n v="125643"/>
    <n v="106653.5"/>
    <n v="-0.12022952833240352"/>
    <n v="93830.6"/>
    <n v="-40424"/>
    <n v="53406.6"/>
    <n v="2.9792066898098657E-2"/>
    <n v="54997.692999999999"/>
    <n v="80"/>
    <n v="55077.692999999999"/>
    <n v="3.0627123216653285E-2"/>
    <n v="56764.564290000002"/>
    <n v="80"/>
    <n v="56844.564290000002"/>
    <m/>
  </r>
  <r>
    <x v="74"/>
    <n v="0.30498868968623954"/>
    <n v="0.30009484409117776"/>
    <n v="0.33710795433965152"/>
    <n v="0.28354433408481861"/>
    <n v="-0.14269330493539789"/>
    <n v="0.24308445595854924"/>
    <m/>
    <n v="0.10632114573752673"/>
    <n v="-4.2278162958465093E-2"/>
    <n v="0.10182608301210486"/>
    <m/>
    <n v="9.2335548495796269E-2"/>
    <n v="-4.4306893950210813E-2"/>
    <n v="8.8244447140758478E-2"/>
    <m/>
    <n v="8.0663282018208091E-2"/>
    <m/>
  </r>
  <r>
    <x v="75"/>
    <n v="12210.560000000027"/>
    <n v="-22784.900000000023"/>
    <n v="-45505.669999999984"/>
    <n v="-48.849999999976717"/>
    <n v="-325.1500511772262"/>
    <n v="15834.729999999952"/>
    <m/>
    <n v="135337.98599999995"/>
    <n v="0.21254146784776329"/>
    <n v="164102.92019999996"/>
    <m/>
    <n v="213392.62243999998"/>
    <n v="0.13870688193225789"/>
    <n v="242991.64772599994"/>
    <m/>
    <n v="292668.85568519996"/>
    <m/>
  </r>
  <r>
    <x v="76"/>
    <n v="3.243239941071898E-2"/>
    <n v="-6.7195681998615156E-2"/>
    <n v="-0.12209453232217667"/>
    <n v="-1.2987047513711962E-4"/>
    <n v="411.52487055447875"/>
    <n v="4.1022616580310756E-2"/>
    <m/>
    <n v="0.26942905433653042"/>
    <n v="344.01100408578912"/>
    <n v="0.30383015474510933"/>
    <m/>
    <n v="0.35774419306113209"/>
    <n v="200.03154806387425"/>
    <n v="0.37774734786751951"/>
    <m/>
    <n v="0.41530145826510528"/>
    <m/>
  </r>
  <r>
    <x v="77"/>
    <m/>
    <m/>
    <m/>
    <n v="0"/>
    <n v="0"/>
    <n v="0"/>
    <n v="4"/>
    <n v="4"/>
    <n v="0"/>
    <n v="4"/>
    <n v="4"/>
    <n v="8"/>
    <n v="0"/>
    <n v="8"/>
    <n v="4"/>
    <n v="12"/>
    <m/>
  </r>
  <r>
    <x v="78"/>
    <n v="580"/>
    <n v="740"/>
    <n v="0"/>
    <n v="0"/>
    <n v="0"/>
    <n v="0"/>
    <n v="4"/>
    <n v="4"/>
    <n v="0"/>
    <n v="4"/>
    <n v="4"/>
    <n v="8"/>
    <n v="0"/>
    <n v="8"/>
    <n v="4"/>
    <n v="12"/>
    <s v="Chapitre 5.1"/>
  </r>
  <r>
    <x v="79"/>
    <m/>
    <m/>
    <m/>
    <n v="0"/>
    <n v="0"/>
    <n v="0"/>
    <n v="4"/>
    <n v="4"/>
    <n v="0"/>
    <n v="4"/>
    <n v="4"/>
    <n v="8"/>
    <n v="0"/>
    <n v="8"/>
    <n v="4"/>
    <n v="12"/>
    <m/>
  </r>
  <r>
    <x v="80"/>
    <n v="1225"/>
    <n v="1177"/>
    <n v="1718"/>
    <n v="0"/>
    <n v="0"/>
    <n v="0"/>
    <n v="4"/>
    <n v="4"/>
    <n v="0"/>
    <n v="4"/>
    <n v="4"/>
    <n v="8"/>
    <n v="0"/>
    <n v="8"/>
    <n v="4"/>
    <n v="12"/>
    <s v="Chapitre 5.2"/>
  </r>
  <r>
    <x v="81"/>
    <n v="-645"/>
    <n v="-437"/>
    <n v="-1718"/>
    <n v="0"/>
    <n v="0"/>
    <n v="0"/>
    <n v="8"/>
    <n v="0"/>
    <n v="0"/>
    <n v="0"/>
    <n v="8"/>
    <n v="0"/>
    <n v="0"/>
    <n v="0"/>
    <n v="8"/>
    <n v="0"/>
    <m/>
  </r>
  <r>
    <x v="82"/>
    <m/>
    <m/>
    <m/>
    <n v="0"/>
    <n v="0"/>
    <n v="0"/>
    <n v="4"/>
    <n v="4"/>
    <n v="0"/>
    <n v="4"/>
    <n v="4"/>
    <n v="8"/>
    <n v="0"/>
    <n v="8"/>
    <n v="4"/>
    <n v="12"/>
    <m/>
  </r>
  <r>
    <x v="83"/>
    <n v="0"/>
    <n v="276"/>
    <n v="0"/>
    <n v="0"/>
    <n v="0"/>
    <n v="0"/>
    <n v="4"/>
    <n v="4"/>
    <n v="0"/>
    <n v="4"/>
    <n v="4"/>
    <n v="8"/>
    <n v="0"/>
    <n v="8"/>
    <n v="4"/>
    <n v="12"/>
    <s v="Chapitre 6.1"/>
  </r>
  <r>
    <x v="84"/>
    <m/>
    <m/>
    <m/>
    <n v="0"/>
    <n v="0"/>
    <n v="0"/>
    <n v="4"/>
    <n v="4"/>
    <n v="0"/>
    <n v="4"/>
    <n v="4"/>
    <n v="8"/>
    <n v="0"/>
    <n v="8"/>
    <n v="4"/>
    <n v="12"/>
    <m/>
  </r>
  <r>
    <x v="85"/>
    <n v="0"/>
    <n v="0"/>
    <n v="0"/>
    <n v="0"/>
    <n v="0"/>
    <n v="0"/>
    <n v="4"/>
    <n v="4"/>
    <n v="0"/>
    <n v="4"/>
    <n v="4"/>
    <n v="8"/>
    <n v="0"/>
    <n v="8"/>
    <n v="4"/>
    <n v="12"/>
    <s v="Chapitre 6.2"/>
  </r>
  <r>
    <x v="86"/>
    <n v="0"/>
    <n v="276"/>
    <n v="0"/>
    <n v="0"/>
    <n v="0"/>
    <n v="0"/>
    <n v="8"/>
    <n v="0"/>
    <n v="0"/>
    <n v="0"/>
    <n v="8"/>
    <n v="0"/>
    <n v="0"/>
    <n v="0"/>
    <n v="8"/>
    <n v="0"/>
    <m/>
  </r>
  <r>
    <x v="87"/>
    <n v="12855.560000000027"/>
    <n v="-22623.900000000023"/>
    <n v="-43787.669999999984"/>
    <n v="-48.849999999976717"/>
    <n v="-325.1500511772262"/>
    <n v="15834.729999999952"/>
    <m/>
    <n v="135337.98599999995"/>
    <n v="0.21254146784776329"/>
    <n v="164102.92019999996"/>
    <m/>
    <n v="213392.62243999998"/>
    <n v="0.13870688193225789"/>
    <n v="242991.64772599994"/>
    <m/>
    <n v="292668.85568519996"/>
    <m/>
  </r>
  <r>
    <x v="88"/>
    <n v="3.4145580265644036E-2"/>
    <n v="-6.6720871716288835E-2"/>
    <n v="-0.11748503186806844"/>
    <n v="-1.2987047513711962E-4"/>
    <n v="411.52487055447875"/>
    <n v="4.1022616580310756E-2"/>
    <m/>
    <n v="0.26942905433653042"/>
    <n v="344.01100408578912"/>
    <n v="0.30383015474510933"/>
    <m/>
    <n v="0.35774419306113209"/>
    <n v="200.03154806387425"/>
    <n v="0.37774734786751951"/>
    <m/>
    <n v="0.4153014582651052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8" rowHeaderCaption="CA">
  <location ref="B4:F12" firstHeaderRow="1" firstDataRow="2" firstDataCol="1"/>
  <pivotFields count="18">
    <pivotField axis="axisCol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h="1" m="1" x="107"/>
        <item h="1" m="1" x="108"/>
        <item h="1" m="1" x="103"/>
        <item h="1"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h="1" x="26"/>
        <item h="1" x="31"/>
        <item h="1" x="39"/>
        <item h="1" x="40"/>
        <item h="1" x="48"/>
        <item h="1" x="56"/>
        <item h="1" x="62"/>
        <item h="1" x="70"/>
        <item h="1"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0"/>
  </colFields>
  <colItems count="4">
    <i>
      <x v="35"/>
    </i>
    <i>
      <x v="64"/>
    </i>
    <i>
      <x v="75"/>
    </i>
    <i t="grand">
      <x/>
    </i>
  </colItem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11">
    <format dxfId="53">
      <pivotArea outline="0" collapsedLevelsAreSubtotals="1" fieldPosition="0"/>
    </format>
    <format dxfId="52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51">
      <pivotArea field="-2" type="button" dataOnly="0" labelOnly="1" outline="0" axis="axisRow" fieldPosition="0"/>
    </format>
    <format dxfId="50">
      <pivotArea dataOnly="0" labelOnly="1" fieldPosition="0">
        <references count="1">
          <reference field="0" count="0"/>
        </references>
      </pivotArea>
    </format>
    <format dxfId="49">
      <pivotArea dataOnly="0" labelOnly="1" grandCol="1" outline="0" fieldPosition="0"/>
    </format>
    <format dxfId="48">
      <pivotArea field="-2" type="button" dataOnly="0" labelOnly="1" outline="0" axis="axisRow" fieldPosition="0"/>
    </format>
    <format dxfId="47">
      <pivotArea dataOnly="0" labelOnly="1" fieldPosition="0">
        <references count="1">
          <reference field="0" count="0"/>
        </references>
      </pivotArea>
    </format>
    <format dxfId="46">
      <pivotArea dataOnly="0" labelOnly="1" grandCol="1" outline="0" fieldPosition="0"/>
    </format>
    <format dxfId="45">
      <pivotArea field="-2" type="button" dataOnly="0" labelOnly="1" outline="0" axis="axisRow" fieldPosition="0"/>
    </format>
    <format dxfId="44">
      <pivotArea dataOnly="0" labelOnly="1" fieldPosition="0">
        <references count="1">
          <reference field="0" count="0"/>
        </references>
      </pivotArea>
    </format>
    <format dxfId="43">
      <pivotArea dataOnly="0" labelOnly="1" grandCol="1" outline="0" fieldPosition="0"/>
    </format>
  </formats>
  <chartFormats count="34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7"/>
          </reference>
        </references>
      </pivotArea>
    </chartFormat>
    <chartFormat chart="6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8"/>
          </reference>
        </references>
      </pivotArea>
    </chartFormat>
    <chartFormat chart="6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9"/>
          </reference>
        </references>
      </pivotArea>
    </chartFormat>
    <chartFormat chart="6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chartFormat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6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6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6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7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7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7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7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7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7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7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4"/>
          </reference>
        </references>
      </pivotArea>
    </chartFormat>
    <chartFormat chart="7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5"/>
          </reference>
        </references>
      </pivotArea>
    </chartFormat>
    <chartFormat chart="7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6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9" rowHeaderCaption="CA">
  <location ref="B32:C39" firstHeaderRow="1" firstDataRow="1" firstDataCol="1" rowPageCount="1" colPageCount="1"/>
  <pivotFields count="18">
    <pivotField axis="axisPage" multipleItemSelectionAllowed="1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m="1" x="107"/>
        <item m="1" x="108"/>
        <item m="1" x="103"/>
        <item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h="1" x="26"/>
        <item h="1" x="31"/>
        <item h="1" x="39"/>
        <item h="1" x="40"/>
        <item h="1" x="48"/>
        <item h="1" x="56"/>
        <item h="1" x="62"/>
        <item h="1" x="70"/>
        <item h="1"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Items count="1">
    <i/>
  </colItems>
  <pageFields count="1">
    <pageField fld="0" hier="-1"/>
  </pageField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2">
    <format dxfId="55">
      <pivotArea outline="0" collapsedLevelsAreSubtotals="1" fieldPosition="0"/>
    </format>
    <format dxfId="5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3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6" rowHeaderCaption="CA">
  <location ref="B32:C39" firstHeaderRow="1" firstDataRow="1" firstDataCol="1" rowPageCount="1" colPageCount="1"/>
  <pivotFields count="18">
    <pivotField axis="axisPage" multipleItemSelectionAllowed="1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m="1" x="107"/>
        <item m="1" x="108"/>
        <item m="1" x="103"/>
        <item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x="9"/>
        <item x="15"/>
        <item x="20"/>
        <item x="21"/>
        <item h="1" x="26"/>
        <item h="1" x="31"/>
        <item h="1" x="39"/>
        <item h="1" x="40"/>
        <item h="1" x="48"/>
        <item h="1" x="56"/>
        <item h="1" x="62"/>
        <item h="1" x="70"/>
        <item h="1"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Items count="1">
    <i/>
  </colItems>
  <pageFields count="1">
    <pageField fld="0" hier="-1"/>
  </pageField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2">
    <format dxfId="31">
      <pivotArea outline="0" collapsedLevelsAreSubtotals="1" fieldPosition="0"/>
    </format>
    <format dxfId="30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3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5" rowHeaderCaption="CA" colHeaderCaption="Rubriques">
  <location ref="B4:G12" firstHeaderRow="1" firstDataRow="2" firstDataCol="1"/>
  <pivotFields count="18">
    <pivotField axis="axisCol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h="1" m="1" x="107"/>
        <item h="1" m="1" x="108"/>
        <item h="1" m="1" x="103"/>
        <item h="1"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x="9"/>
        <item x="15"/>
        <item x="20"/>
        <item x="21"/>
        <item h="1" x="26"/>
        <item h="1" x="31"/>
        <item h="1" x="39"/>
        <item h="1" x="40"/>
        <item h="1" x="48"/>
        <item h="1" x="56"/>
        <item h="1" x="62"/>
        <item h="1" x="70"/>
        <item h="1"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0"/>
  </colFields>
  <colItems count="5">
    <i>
      <x v="83"/>
    </i>
    <i>
      <x v="84"/>
    </i>
    <i>
      <x v="85"/>
    </i>
    <i>
      <x v="86"/>
    </i>
    <i t="grand">
      <x/>
    </i>
  </colItem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11">
    <format dxfId="42">
      <pivotArea outline="0" collapsedLevelsAreSubtotals="1" fieldPosition="0"/>
    </format>
    <format dxfId="4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40">
      <pivotArea field="-2" type="button" dataOnly="0" labelOnly="1" outline="0" axis="axisRow" fieldPosition="0"/>
    </format>
    <format dxfId="39">
      <pivotArea dataOnly="0" labelOnly="1" fieldPosition="0">
        <references count="1">
          <reference field="0" count="0"/>
        </references>
      </pivotArea>
    </format>
    <format dxfId="38">
      <pivotArea dataOnly="0" labelOnly="1" grandCol="1" outline="0" fieldPosition="0"/>
    </format>
    <format dxfId="37">
      <pivotArea field="-2" type="button" dataOnly="0" labelOnly="1" outline="0" axis="axisRow" fieldPosition="0"/>
    </format>
    <format dxfId="36">
      <pivotArea dataOnly="0" labelOnly="1" fieldPosition="0">
        <references count="1">
          <reference field="0" count="0"/>
        </references>
      </pivotArea>
    </format>
    <format dxfId="35">
      <pivotArea dataOnly="0" labelOnly="1" grandCol="1" outline="0" fieldPosition="0"/>
    </format>
    <format dxfId="34">
      <pivotArea field="-2" type="button" dataOnly="0" labelOnly="1" outline="0" axis="axisRow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Col="1" outline="0" fieldPosition="0"/>
    </format>
  </formats>
  <chartFormats count="11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6" rowHeaderCaption="CA" colHeaderCaption="Rubriques">
  <location ref="B4:G12" firstHeaderRow="1" firstDataRow="2" firstDataCol="1"/>
  <pivotFields count="18">
    <pivotField axis="axisCol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h="1" m="1" x="107"/>
        <item h="1" m="1" x="108"/>
        <item h="1" m="1" x="103"/>
        <item h="1"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x="26"/>
        <item x="31"/>
        <item x="39"/>
        <item x="40"/>
        <item h="1" x="48"/>
        <item h="1" x="56"/>
        <item h="1" x="62"/>
        <item h="1" x="70"/>
        <item h="1"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0"/>
  </colFields>
  <colItems count="5">
    <i>
      <x v="87"/>
    </i>
    <i>
      <x v="88"/>
    </i>
    <i>
      <x v="89"/>
    </i>
    <i>
      <x v="90"/>
    </i>
    <i t="grand">
      <x/>
    </i>
  </colItem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11">
    <format dxfId="27">
      <pivotArea outline="0" collapsedLevelsAreSubtotals="1" fieldPosition="0"/>
    </format>
    <format dxfId="26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25">
      <pivotArea field="-2" type="button" dataOnly="0" labelOnly="1" outline="0" axis="axisRow" fieldPosition="0"/>
    </format>
    <format dxfId="24">
      <pivotArea dataOnly="0" labelOnly="1" fieldPosition="0">
        <references count="1">
          <reference field="0" count="0"/>
        </references>
      </pivotArea>
    </format>
    <format dxfId="23">
      <pivotArea dataOnly="0" labelOnly="1" grandCol="1" outline="0" fieldPosition="0"/>
    </format>
    <format dxfId="22">
      <pivotArea field="-2" type="button" dataOnly="0" labelOnly="1" outline="0" axis="axisRow" fieldPosition="0"/>
    </format>
    <format dxfId="21">
      <pivotArea dataOnly="0" labelOnly="1" fieldPosition="0">
        <references count="1">
          <reference field="0" count="0"/>
        </references>
      </pivotArea>
    </format>
    <format dxfId="20">
      <pivotArea dataOnly="0" labelOnly="1" grandCol="1" outline="0" fieldPosition="0"/>
    </format>
    <format dxfId="19">
      <pivotArea field="-2" type="button" dataOnly="0" labelOnly="1" outline="0" axis="axisRow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grandCol="1" outline="0" fieldPosition="0"/>
    </format>
  </formats>
  <chartFormats count="16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7" rowHeaderCaption="CA">
  <location ref="B32:C39" firstHeaderRow="1" firstDataRow="1" firstDataCol="1" rowPageCount="1" colPageCount="1"/>
  <pivotFields count="18">
    <pivotField axis="axisPage" multipleItemSelectionAllowed="1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m="1" x="107"/>
        <item m="1" x="108"/>
        <item m="1" x="103"/>
        <item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x="26"/>
        <item x="31"/>
        <item x="39"/>
        <item x="40"/>
        <item h="1" x="48"/>
        <item h="1" x="56"/>
        <item h="1" x="62"/>
        <item h="1" x="70"/>
        <item h="1"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Items count="1">
    <i/>
  </colItems>
  <pageFields count="1">
    <pageField fld="0" hier="-1"/>
  </pageField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2">
    <format dxfId="29">
      <pivotArea outline="0" collapsedLevelsAreSubtotals="1" fieldPosition="0"/>
    </format>
    <format dxfId="2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3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8" rowHeaderCaption="CA">
  <location ref="B32:C39" firstHeaderRow="1" firstDataRow="1" firstDataCol="1" rowPageCount="1" colPageCount="1"/>
  <pivotFields count="18">
    <pivotField axis="axisPage" multipleItemSelectionAllowed="1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m="1" x="107"/>
        <item m="1" x="108"/>
        <item m="1" x="103"/>
        <item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h="1" x="26"/>
        <item h="1" x="31"/>
        <item h="1" x="39"/>
        <item h="1" x="40"/>
        <item x="48"/>
        <item x="56"/>
        <item x="62"/>
        <item x="70"/>
        <item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Items count="1">
    <i/>
  </colItems>
  <pageFields count="1">
    <pageField fld="0" hier="-1"/>
  </pageField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2">
    <format dxfId="5">
      <pivotArea outline="0" collapsedLevelsAreSubtotals="1" fieldPosition="0"/>
    </format>
    <format dxfId="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3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Périodes" updatedVersion="4" minRefreshableVersion="3" itemPrintTitles="1" createdVersion="4" indent="0" outline="1" outlineData="1" multipleFieldFilters="0" chartFormat="7" rowHeaderCaption="CA" colHeaderCaption="Rubriques">
  <location ref="B4:H12" firstHeaderRow="1" firstDataRow="2" firstDataCol="1"/>
  <pivotFields count="18">
    <pivotField axis="axisCol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h="1" m="1" x="107"/>
        <item h="1" m="1" x="108"/>
        <item h="1" m="1" x="103"/>
        <item h="1"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h="1" x="26"/>
        <item h="1" x="31"/>
        <item h="1" x="39"/>
        <item h="1" x="40"/>
        <item x="48"/>
        <item x="56"/>
        <item x="62"/>
        <item x="70"/>
        <item x="72"/>
        <item h="1" x="78"/>
        <item h="1"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0"/>
  </colFields>
  <colItems count="6">
    <i>
      <x v="91"/>
    </i>
    <i>
      <x v="92"/>
    </i>
    <i>
      <x v="93"/>
    </i>
    <i>
      <x v="94"/>
    </i>
    <i>
      <x v="95"/>
    </i>
    <i t="grand">
      <x/>
    </i>
  </colItem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11">
    <format dxfId="16">
      <pivotArea outline="0" collapsedLevelsAreSubtotals="1" fieldPosition="0"/>
    </format>
    <format dxfId="1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4">
      <pivotArea field="-2" type="button" dataOnly="0" labelOnly="1" outline="0" axis="axisRow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grandCol="1" outline="0" fieldPosition="0"/>
    </format>
    <format dxfId="11">
      <pivotArea field="-2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Col="1" outline="0" fieldPosition="0"/>
    </format>
    <format dxfId="8">
      <pivotArea field="-2" type="button" dataOnly="0" labelOnly="1" outline="0" axis="axisRow" fieldPosition="0"/>
    </format>
    <format dxfId="7">
      <pivotArea dataOnly="0" labelOnly="1" fieldPosition="0">
        <references count="1">
          <reference field="0" count="0"/>
        </references>
      </pivotArea>
    </format>
    <format dxfId="6">
      <pivotArea dataOnly="0" labelOnly="1" grandCol="1" outline="0" fieldPosition="0"/>
    </format>
  </formats>
  <chartFormats count="25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7"/>
          </reference>
        </references>
      </pivotArea>
    </chartFormat>
    <chartFormat chart="6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8"/>
          </reference>
        </references>
      </pivotArea>
    </chartFormat>
    <chartFormat chart="6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9"/>
          </reference>
        </references>
      </pivotArea>
    </chartFormat>
    <chartFormat chart="6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chartFormat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6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6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6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Périodes" updatedVersion="4" minRefreshableVersion="3" rowGrandTotals="0" colGrandTotals="0" itemPrintTitles="1" createdVersion="4" indent="0" outline="1" outlineData="1" multipleFieldFilters="0" chartFormat="11" rowHeaderCaption="CA" colHeaderCaption="Rubriques">
  <location ref="B31:D39" firstHeaderRow="1" firstDataRow="2" firstDataCol="1"/>
  <pivotFields count="18">
    <pivotField axis="axisCol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h="1" m="1" x="107"/>
        <item h="1" m="1" x="108"/>
        <item h="1" m="1" x="103"/>
        <item h="1"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h="1" x="26"/>
        <item h="1" x="31"/>
        <item h="1" x="39"/>
        <item h="1" x="40"/>
        <item h="1" x="48"/>
        <item h="1" x="56"/>
        <item h="1" x="62"/>
        <item h="1" x="70"/>
        <item h="1" x="72"/>
        <item h="1" x="78"/>
        <item h="1" x="80"/>
        <item x="83"/>
        <item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0"/>
  </colFields>
  <colItems count="2">
    <i>
      <x v="98"/>
    </i>
    <i>
      <x v="99"/>
    </i>
  </colItem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2">
    <format dxfId="1">
      <pivotArea outline="0" collapsedLevelsAreSubtotals="1" fieldPosition="0"/>
    </format>
    <format dxfId="0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36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7"/>
          </reference>
        </references>
      </pivotArea>
    </chartFormat>
    <chartFormat chart="6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8"/>
          </reference>
        </references>
      </pivotArea>
    </chartFormat>
    <chartFormat chart="6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9"/>
          </reference>
        </references>
      </pivotArea>
    </chartFormat>
    <chartFormat chart="6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chartFormat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6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6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6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7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7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7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7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7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7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6"/>
          </reference>
        </references>
      </pivotArea>
    </chartFormat>
    <chartFormat chart="7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7"/>
          </reference>
        </references>
      </pivotArea>
    </chartFormat>
    <chartFormat chart="9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6"/>
          </reference>
        </references>
      </pivotArea>
    </chartFormat>
    <chartFormat chart="9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7"/>
          </reference>
        </references>
      </pivotArea>
    </chartFormat>
    <chartFormat chart="1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8"/>
          </reference>
        </references>
      </pivotArea>
    </chartFormat>
    <chartFormat chart="1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9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Périodes" updatedVersion="4" minRefreshableVersion="3" useAutoFormatting="1" rowGrandTotals="0" colGrandTotals="0" itemPrintTitles="1" createdVersion="4" indent="0" outline="1" outlineData="1" multipleFieldFilters="0" chartFormat="10" rowHeaderCaption="CA" colHeaderCaption="Rubriques">
  <location ref="B4:D12" firstHeaderRow="1" firstDataRow="2" firstDataCol="1"/>
  <pivotFields count="18">
    <pivotField axis="axisCol" showAll="0">
      <items count="112">
        <item h="1" x="65"/>
        <item h="1" x="66"/>
        <item h="1" x="74"/>
        <item h="1" x="43"/>
        <item h="1" x="88"/>
        <item h="1" x="76"/>
        <item h="1" x="54"/>
        <item h="1" x="53"/>
        <item h="1" x="50"/>
        <item h="1" x="51"/>
        <item h="1" x="49"/>
        <item h="1" x="52"/>
        <item h="1" m="1" x="99"/>
        <item h="1" x="44"/>
        <item h="1" x="55"/>
        <item h="1" x="45"/>
        <item h="1" x="46"/>
        <item h="1" x="47"/>
        <item h="1" m="1" x="107"/>
        <item h="1" m="1" x="108"/>
        <item h="1" m="1" x="103"/>
        <item h="1" m="1" x="98"/>
        <item h="1" x="84"/>
        <item h="1" x="79"/>
        <item h="1" m="1" x="110"/>
        <item h="1" x="38"/>
        <item h="1" x="36"/>
        <item h="1" x="33"/>
        <item h="1" x="32"/>
        <item h="1" x="35"/>
        <item h="1" x="34"/>
        <item h="1" x="37"/>
        <item h="1" x="73"/>
        <item h="1" m="1" x="89"/>
        <item h="1" m="1" x="106"/>
        <item h="1" x="22"/>
        <item h="1" m="1" x="91"/>
        <item h="1" m="1" x="90"/>
        <item h="1" m="1" x="97"/>
        <item h="1" x="2"/>
        <item h="1" x="6"/>
        <item h="1" x="7"/>
        <item h="1" x="4"/>
        <item h="1" x="8"/>
        <item h="1" x="5"/>
        <item h="1" x="1"/>
        <item h="1" m="1" x="92"/>
        <item h="1" x="10"/>
        <item h="1" x="11"/>
        <item h="1" x="30"/>
        <item h="1" x="29"/>
        <item h="1" x="28"/>
        <item h="1" x="27"/>
        <item h="1" m="1" x="100"/>
        <item h="1" m="1" x="109"/>
        <item h="1" x="41"/>
        <item h="1" m="1" x="102"/>
        <item h="1" m="1" x="105"/>
        <item h="1" m="1" x="96"/>
        <item h="1" x="61"/>
        <item h="1" x="58"/>
        <item h="1" x="67"/>
        <item h="1" m="1" x="95"/>
        <item h="1" x="68"/>
        <item h="1" x="42"/>
        <item h="1" x="69"/>
        <item h="1" x="0"/>
        <item h="1" x="64"/>
        <item h="1" x="63"/>
        <item h="1" m="1" x="94"/>
        <item h="1" x="71"/>
        <item h="1" x="82"/>
        <item h="1" x="77"/>
        <item h="1" m="1" x="104"/>
        <item h="1" m="1" x="93"/>
        <item h="1" x="87"/>
        <item h="1" x="75"/>
        <item h="1" x="86"/>
        <item h="1" x="81"/>
        <item h="1" m="1" x="101"/>
        <item h="1" x="25"/>
        <item h="1" x="24"/>
        <item h="1" x="23"/>
        <item h="1" x="9"/>
        <item h="1" x="15"/>
        <item h="1" x="20"/>
        <item h="1" x="21"/>
        <item h="1" x="26"/>
        <item h="1" x="31"/>
        <item h="1" x="39"/>
        <item h="1" x="40"/>
        <item h="1" x="48"/>
        <item h="1" x="56"/>
        <item h="1" x="62"/>
        <item h="1" x="70"/>
        <item h="1" x="72"/>
        <item x="78"/>
        <item x="80"/>
        <item h="1" x="83"/>
        <item h="1" x="85"/>
        <item h="1" x="3"/>
        <item h="1" x="12"/>
        <item h="1" x="13"/>
        <item h="1" x="14"/>
        <item h="1" x="16"/>
        <item h="1" x="17"/>
        <item h="1" x="18"/>
        <item h="1" x="19"/>
        <item h="1" x="57"/>
        <item h="1" x="59"/>
        <item h="1" x="6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dataField="1" showAll="0"/>
    <pivotField showAll="0"/>
  </pivotFields>
  <rowFields count="1">
    <field x="-2"/>
  </rowFields>
  <row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rowItems>
  <colFields count="1">
    <field x="0"/>
  </colFields>
  <colItems count="2">
    <i>
      <x v="96"/>
    </i>
    <i>
      <x v="97"/>
    </i>
  </colItems>
  <dataFields count="7">
    <dataField name="09/10" fld="1" baseField="0" baseItem="0" numFmtId="165"/>
    <dataField name="10/11" fld="2" baseField="0" baseItem="0" numFmtId="165"/>
    <dataField name="11/12" fld="3" baseField="0" baseItem="20" numFmtId="165"/>
    <dataField name="12/13" fld="4" baseField="0" baseItem="0" numFmtId="165"/>
    <dataField name="13/14" fld="8" baseField="0" baseItem="20" numFmtId="165"/>
    <dataField name="14/15" fld="12" baseField="0" baseItem="20" numFmtId="165"/>
    <dataField name="15/16" fld="16" baseField="0" baseItem="0" numFmtId="165"/>
  </dataFields>
  <formats count="2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chartFormats count="32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5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7"/>
          </reference>
        </references>
      </pivotArea>
    </chartFormat>
    <chartFormat chart="6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8"/>
          </reference>
        </references>
      </pivotArea>
    </chartFormat>
    <chartFormat chart="6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9"/>
          </reference>
        </references>
      </pivotArea>
    </chartFormat>
    <chartFormat chart="6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0"/>
          </reference>
        </references>
      </pivotArea>
    </chartFormat>
    <chartFormat chart="6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6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6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6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6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7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1"/>
          </reference>
        </references>
      </pivotArea>
    </chartFormat>
    <chartFormat chart="7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2"/>
          </reference>
        </references>
      </pivotArea>
    </chartFormat>
    <chartFormat chart="7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3"/>
          </reference>
        </references>
      </pivotArea>
    </chartFormat>
    <chartFormat chart="7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4"/>
          </reference>
        </references>
      </pivotArea>
    </chartFormat>
    <chartFormat chart="7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5"/>
          </reference>
        </references>
      </pivotArea>
    </chartFormat>
    <chartFormat chart="7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6"/>
          </reference>
        </references>
      </pivotArea>
    </chartFormat>
    <chartFormat chart="7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7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4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Relationship Id="rId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100"/>
  <sheetViews>
    <sheetView showGridLines="0" tabSelected="1" zoomScale="90" zoomScaleNormal="90" zoomScaleSheetLayoutView="9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E77" sqref="E77"/>
    </sheetView>
  </sheetViews>
  <sheetFormatPr baseColWidth="10" defaultRowHeight="11.25" outlineLevelRow="2" outlineLevelCol="1" x14ac:dyDescent="0.2"/>
  <cols>
    <col min="1" max="1" width="4.7109375" style="8" customWidth="1"/>
    <col min="2" max="2" width="46" style="8" customWidth="1"/>
    <col min="3" max="6" width="11.42578125" style="8"/>
    <col min="7" max="7" width="11.42578125" style="67" hidden="1" customWidth="1" outlineLevel="1"/>
    <col min="8" max="8" width="11.42578125" style="70" hidden="1" customWidth="1" outlineLevel="1"/>
    <col min="9" max="9" width="11.42578125" style="71" hidden="1" customWidth="1" outlineLevel="1"/>
    <col min="10" max="10" width="11.42578125" style="8" collapsed="1"/>
    <col min="11" max="11" width="11.42578125" style="67" hidden="1" customWidth="1" outlineLevel="1"/>
    <col min="12" max="12" width="11.42578125" style="70" hidden="1" customWidth="1" outlineLevel="1"/>
    <col min="13" max="13" width="11.42578125" style="71" hidden="1" customWidth="1" outlineLevel="1"/>
    <col min="14" max="14" width="11.42578125" style="8" collapsed="1"/>
    <col min="15" max="15" width="11.42578125" style="67" hidden="1" customWidth="1" outlineLevel="1"/>
    <col min="16" max="16" width="11.42578125" style="70" hidden="1" customWidth="1" outlineLevel="1"/>
    <col min="17" max="17" width="11.42578125" style="71" hidden="1" customWidth="1" outlineLevel="1"/>
    <col min="18" max="18" width="11.42578125" style="8" collapsed="1"/>
    <col min="19" max="16384" width="11.42578125" style="8"/>
  </cols>
  <sheetData>
    <row r="1" spans="1:19" s="3" customFormat="1" ht="18" x14ac:dyDescent="0.25">
      <c r="A1" s="1" t="s">
        <v>125</v>
      </c>
      <c r="B1" s="2"/>
      <c r="C1" s="85" t="s">
        <v>140</v>
      </c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s="3" customFormat="1" ht="12.75" x14ac:dyDescent="0.2">
      <c r="A2" s="4" t="s">
        <v>126</v>
      </c>
      <c r="B2" s="5">
        <v>41565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</row>
    <row r="3" spans="1:19" s="3" customFormat="1" ht="12.75" x14ac:dyDescent="0.2">
      <c r="A3" s="3" t="s">
        <v>127</v>
      </c>
      <c r="B3" s="5">
        <f ca="1">TODAY()</f>
        <v>41565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1:19" s="3" customFormat="1" ht="12.75" x14ac:dyDescent="0.2">
      <c r="B4" s="5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</row>
    <row r="5" spans="1:19" s="24" customFormat="1" ht="23.25" thickBot="1" x14ac:dyDescent="0.25">
      <c r="A5" s="23"/>
      <c r="B5" s="73" t="s">
        <v>88</v>
      </c>
      <c r="C5" s="29" t="s">
        <v>82</v>
      </c>
      <c r="D5" s="29" t="s">
        <v>83</v>
      </c>
      <c r="E5" s="29" t="s">
        <v>84</v>
      </c>
      <c r="F5" s="29" t="s">
        <v>24</v>
      </c>
      <c r="G5" s="30" t="s">
        <v>61</v>
      </c>
      <c r="H5" s="31" t="s">
        <v>25</v>
      </c>
      <c r="I5" s="29" t="s">
        <v>60</v>
      </c>
      <c r="J5" s="29" t="s">
        <v>26</v>
      </c>
      <c r="K5" s="30" t="s">
        <v>61</v>
      </c>
      <c r="L5" s="31" t="s">
        <v>25</v>
      </c>
      <c r="M5" s="29" t="s">
        <v>60</v>
      </c>
      <c r="N5" s="29" t="s">
        <v>65</v>
      </c>
      <c r="O5" s="30" t="s">
        <v>61</v>
      </c>
      <c r="P5" s="31" t="s">
        <v>25</v>
      </c>
      <c r="Q5" s="29" t="s">
        <v>60</v>
      </c>
      <c r="R5" s="29" t="s">
        <v>66</v>
      </c>
      <c r="S5" s="29" t="s">
        <v>89</v>
      </c>
    </row>
    <row r="6" spans="1:19" s="46" customFormat="1" ht="12" thickTop="1" x14ac:dyDescent="0.2">
      <c r="A6" s="42"/>
      <c r="B6" s="47" t="s">
        <v>45</v>
      </c>
      <c r="C6" s="43">
        <v>2</v>
      </c>
      <c r="D6" s="43">
        <v>3</v>
      </c>
      <c r="E6" s="43">
        <v>3</v>
      </c>
      <c r="F6" s="43">
        <v>5</v>
      </c>
      <c r="G6" s="44"/>
      <c r="H6" s="45"/>
      <c r="I6" s="43"/>
      <c r="J6" s="43">
        <v>5</v>
      </c>
      <c r="K6" s="44"/>
      <c r="L6" s="45"/>
      <c r="M6" s="43"/>
      <c r="N6" s="43">
        <v>5</v>
      </c>
      <c r="O6" s="44"/>
      <c r="P6" s="45"/>
      <c r="Q6" s="43"/>
      <c r="R6" s="43">
        <v>5</v>
      </c>
    </row>
    <row r="7" spans="1:19" s="11" customFormat="1" ht="11.25" hidden="1" customHeight="1" outlineLevel="2" x14ac:dyDescent="0.2">
      <c r="A7" s="9"/>
      <c r="B7" s="10" t="s">
        <v>37</v>
      </c>
      <c r="C7" s="14"/>
      <c r="D7" s="14"/>
      <c r="E7" s="14"/>
      <c r="F7" s="14">
        <v>179759</v>
      </c>
      <c r="G7" s="48">
        <v>0</v>
      </c>
      <c r="H7" s="49">
        <f>F7*(1+G7)</f>
        <v>179759</v>
      </c>
      <c r="I7" s="50">
        <v>121000</v>
      </c>
      <c r="J7" s="14">
        <v>121000</v>
      </c>
      <c r="K7" s="48">
        <v>0.1</v>
      </c>
      <c r="L7" s="49">
        <f>J7*(1+K7)</f>
        <v>133100</v>
      </c>
      <c r="M7" s="50">
        <v>0</v>
      </c>
      <c r="N7" s="14">
        <f>L7+M7</f>
        <v>133100</v>
      </c>
      <c r="O7" s="48">
        <v>0.1</v>
      </c>
      <c r="P7" s="49">
        <f>N7*(1+O7)</f>
        <v>146410</v>
      </c>
      <c r="Q7" s="50">
        <v>0</v>
      </c>
      <c r="R7" s="14">
        <f>P7+Q7</f>
        <v>146410</v>
      </c>
    </row>
    <row r="8" spans="1:19" s="11" customFormat="1" ht="11.25" hidden="1" customHeight="1" outlineLevel="2" x14ac:dyDescent="0.2">
      <c r="A8" s="9"/>
      <c r="B8" s="10" t="s">
        <v>38</v>
      </c>
      <c r="C8" s="14"/>
      <c r="D8" s="14"/>
      <c r="E8" s="14"/>
      <c r="F8" s="14">
        <v>0</v>
      </c>
      <c r="G8" s="48">
        <v>0</v>
      </c>
      <c r="H8" s="49">
        <f t="shared" ref="H8:H15" si="0">F8*(1+G8)</f>
        <v>0</v>
      </c>
      <c r="I8" s="50">
        <v>0</v>
      </c>
      <c r="J8" s="14">
        <v>0</v>
      </c>
      <c r="K8" s="48">
        <v>0.1</v>
      </c>
      <c r="L8" s="49">
        <f t="shared" ref="L8:L15" si="1">J8*(1+K8)</f>
        <v>0</v>
      </c>
      <c r="M8" s="50">
        <v>0</v>
      </c>
      <c r="N8" s="14">
        <f t="shared" ref="N8:N15" si="2">L8+M8</f>
        <v>0</v>
      </c>
      <c r="O8" s="48">
        <v>0.1</v>
      </c>
      <c r="P8" s="49">
        <f t="shared" ref="P8:P15" si="3">N8*(1+O8)</f>
        <v>0</v>
      </c>
      <c r="Q8" s="50">
        <v>0</v>
      </c>
      <c r="R8" s="14">
        <f t="shared" ref="R8:R15" si="4">P8+Q8</f>
        <v>0</v>
      </c>
    </row>
    <row r="9" spans="1:19" s="11" customFormat="1" ht="11.25" hidden="1" customHeight="1" outlineLevel="2" x14ac:dyDescent="0.2">
      <c r="A9" s="9"/>
      <c r="B9" s="10" t="s">
        <v>136</v>
      </c>
      <c r="C9" s="14"/>
      <c r="D9" s="14"/>
      <c r="E9" s="14"/>
      <c r="F9" s="14">
        <v>0</v>
      </c>
      <c r="G9" s="48">
        <v>0</v>
      </c>
      <c r="H9" s="49">
        <f t="shared" ref="H9" si="5">F9*(1+G9)</f>
        <v>0</v>
      </c>
      <c r="I9" s="50">
        <v>10000</v>
      </c>
      <c r="J9" s="14">
        <f t="shared" ref="J9" si="6">H9+I9</f>
        <v>10000</v>
      </c>
      <c r="K9" s="48">
        <v>0.1</v>
      </c>
      <c r="L9" s="49">
        <f t="shared" ref="L9" si="7">J9*(1+K9)</f>
        <v>11000</v>
      </c>
      <c r="M9" s="50">
        <v>0</v>
      </c>
      <c r="N9" s="14">
        <f t="shared" ref="N9" si="8">L9+M9</f>
        <v>11000</v>
      </c>
      <c r="O9" s="48">
        <v>0.1</v>
      </c>
      <c r="P9" s="49">
        <f t="shared" ref="P9" si="9">N9*(1+O9)</f>
        <v>12100.000000000002</v>
      </c>
      <c r="Q9" s="50">
        <v>0</v>
      </c>
      <c r="R9" s="14">
        <f t="shared" ref="R9" si="10">P9+Q9</f>
        <v>12100.000000000002</v>
      </c>
    </row>
    <row r="10" spans="1:19" s="11" customFormat="1" ht="11.25" hidden="1" customHeight="1" outlineLevel="2" x14ac:dyDescent="0.2">
      <c r="A10" s="9"/>
      <c r="B10" s="10" t="s">
        <v>39</v>
      </c>
      <c r="C10" s="14"/>
      <c r="D10" s="14"/>
      <c r="E10" s="14"/>
      <c r="F10" s="14">
        <v>0</v>
      </c>
      <c r="G10" s="48">
        <v>0</v>
      </c>
      <c r="H10" s="49">
        <f t="shared" si="0"/>
        <v>0</v>
      </c>
      <c r="I10" s="50">
        <v>10000</v>
      </c>
      <c r="J10" s="14">
        <v>0</v>
      </c>
      <c r="K10" s="48">
        <v>0.1</v>
      </c>
      <c r="L10" s="49">
        <f t="shared" si="1"/>
        <v>0</v>
      </c>
      <c r="M10" s="50">
        <v>0</v>
      </c>
      <c r="N10" s="14">
        <f t="shared" si="2"/>
        <v>0</v>
      </c>
      <c r="O10" s="48">
        <v>0.1</v>
      </c>
      <c r="P10" s="49">
        <f t="shared" si="3"/>
        <v>0</v>
      </c>
      <c r="Q10" s="50">
        <v>0</v>
      </c>
      <c r="R10" s="14">
        <f t="shared" si="4"/>
        <v>0</v>
      </c>
    </row>
    <row r="11" spans="1:19" s="11" customFormat="1" ht="11.25" hidden="1" customHeight="1" outlineLevel="2" x14ac:dyDescent="0.2">
      <c r="A11" s="9"/>
      <c r="B11" s="10" t="s">
        <v>40</v>
      </c>
      <c r="C11" s="14"/>
      <c r="D11" s="14"/>
      <c r="E11" s="14"/>
      <c r="F11" s="14">
        <v>0</v>
      </c>
      <c r="G11" s="48">
        <v>0</v>
      </c>
      <c r="H11" s="49">
        <f t="shared" si="0"/>
        <v>0</v>
      </c>
      <c r="I11" s="50">
        <v>0</v>
      </c>
      <c r="J11" s="14">
        <f t="shared" ref="J11:J15" si="11">H11+I11</f>
        <v>0</v>
      </c>
      <c r="K11" s="48">
        <v>0.1</v>
      </c>
      <c r="L11" s="49">
        <f t="shared" si="1"/>
        <v>0</v>
      </c>
      <c r="M11" s="50">
        <v>15000</v>
      </c>
      <c r="N11" s="14">
        <f t="shared" si="2"/>
        <v>15000</v>
      </c>
      <c r="O11" s="48">
        <v>0.1</v>
      </c>
      <c r="P11" s="49">
        <f t="shared" si="3"/>
        <v>16500</v>
      </c>
      <c r="Q11" s="50">
        <v>15000</v>
      </c>
      <c r="R11" s="14">
        <f t="shared" si="4"/>
        <v>31500</v>
      </c>
    </row>
    <row r="12" spans="1:19" s="11" customFormat="1" ht="11.25" hidden="1" customHeight="1" outlineLevel="2" x14ac:dyDescent="0.2">
      <c r="A12" s="9"/>
      <c r="B12" s="10" t="s">
        <v>0</v>
      </c>
      <c r="C12" s="14"/>
      <c r="D12" s="14"/>
      <c r="E12" s="14"/>
      <c r="F12" s="14">
        <v>0</v>
      </c>
      <c r="G12" s="48">
        <v>0</v>
      </c>
      <c r="H12" s="49">
        <f t="shared" si="0"/>
        <v>0</v>
      </c>
      <c r="I12" s="50">
        <v>0</v>
      </c>
      <c r="J12" s="14">
        <f t="shared" si="11"/>
        <v>0</v>
      </c>
      <c r="K12" s="48">
        <v>0.1</v>
      </c>
      <c r="L12" s="49">
        <f t="shared" si="1"/>
        <v>0</v>
      </c>
      <c r="M12" s="50">
        <v>15000</v>
      </c>
      <c r="N12" s="14">
        <f t="shared" si="2"/>
        <v>15000</v>
      </c>
      <c r="O12" s="48">
        <v>0.1</v>
      </c>
      <c r="P12" s="49">
        <f t="shared" si="3"/>
        <v>16500</v>
      </c>
      <c r="Q12" s="50">
        <v>15000</v>
      </c>
      <c r="R12" s="14">
        <f t="shared" si="4"/>
        <v>31500</v>
      </c>
    </row>
    <row r="13" spans="1:19" s="11" customFormat="1" ht="11.25" hidden="1" customHeight="1" outlineLevel="2" x14ac:dyDescent="0.2">
      <c r="A13" s="9"/>
      <c r="B13" s="10" t="s">
        <v>41</v>
      </c>
      <c r="C13" s="14"/>
      <c r="D13" s="14"/>
      <c r="E13" s="14"/>
      <c r="F13" s="14">
        <v>0</v>
      </c>
      <c r="G13" s="48">
        <v>0</v>
      </c>
      <c r="H13" s="49">
        <f t="shared" si="0"/>
        <v>0</v>
      </c>
      <c r="I13" s="50">
        <v>0</v>
      </c>
      <c r="J13" s="14">
        <f t="shared" si="11"/>
        <v>0</v>
      </c>
      <c r="K13" s="48">
        <v>0.1</v>
      </c>
      <c r="L13" s="49">
        <f t="shared" si="1"/>
        <v>0</v>
      </c>
      <c r="M13" s="50">
        <v>15000</v>
      </c>
      <c r="N13" s="14">
        <f t="shared" si="2"/>
        <v>15000</v>
      </c>
      <c r="O13" s="48">
        <v>0.1</v>
      </c>
      <c r="P13" s="49">
        <f t="shared" si="3"/>
        <v>16500</v>
      </c>
      <c r="Q13" s="50">
        <v>15000</v>
      </c>
      <c r="R13" s="14">
        <f t="shared" si="4"/>
        <v>31500</v>
      </c>
    </row>
    <row r="14" spans="1:19" s="11" customFormat="1" ht="11.25" hidden="1" customHeight="1" outlineLevel="2" x14ac:dyDescent="0.2">
      <c r="A14" s="9"/>
      <c r="B14" s="10" t="s">
        <v>42</v>
      </c>
      <c r="C14" s="14"/>
      <c r="D14" s="14"/>
      <c r="E14" s="14"/>
      <c r="F14" s="14">
        <v>0</v>
      </c>
      <c r="G14" s="48">
        <v>0</v>
      </c>
      <c r="H14" s="49">
        <f t="shared" ref="H14" si="12">F14*(1+G14)</f>
        <v>0</v>
      </c>
      <c r="I14" s="50">
        <v>0</v>
      </c>
      <c r="J14" s="14">
        <f t="shared" ref="J14" si="13">H14+I14</f>
        <v>0</v>
      </c>
      <c r="K14" s="48">
        <v>0</v>
      </c>
      <c r="L14" s="49">
        <f t="shared" ref="L14" si="14">J14*(1+K14)</f>
        <v>0</v>
      </c>
      <c r="M14" s="50">
        <v>0</v>
      </c>
      <c r="N14" s="14">
        <f t="shared" ref="N14" si="15">L14+M14</f>
        <v>0</v>
      </c>
      <c r="O14" s="48">
        <v>0</v>
      </c>
      <c r="P14" s="49">
        <f t="shared" ref="P14" si="16">N14*(1+O14)</f>
        <v>0</v>
      </c>
      <c r="Q14" s="50">
        <v>0</v>
      </c>
      <c r="R14" s="14">
        <f t="shared" ref="R14" si="17">P14+Q14</f>
        <v>0</v>
      </c>
    </row>
    <row r="15" spans="1:19" s="11" customFormat="1" ht="11.25" hidden="1" customHeight="1" outlineLevel="2" x14ac:dyDescent="0.2">
      <c r="A15" s="9"/>
      <c r="B15" s="10" t="s">
        <v>139</v>
      </c>
      <c r="C15" s="14"/>
      <c r="D15" s="14"/>
      <c r="E15" s="14"/>
      <c r="F15" s="14">
        <v>0</v>
      </c>
      <c r="G15" s="48">
        <v>0</v>
      </c>
      <c r="H15" s="49">
        <f t="shared" si="0"/>
        <v>0</v>
      </c>
      <c r="I15" s="50">
        <v>0</v>
      </c>
      <c r="J15" s="14">
        <v>28000</v>
      </c>
      <c r="K15" s="48">
        <v>0</v>
      </c>
      <c r="L15" s="49">
        <f t="shared" si="1"/>
        <v>28000</v>
      </c>
      <c r="M15" s="50">
        <v>0</v>
      </c>
      <c r="N15" s="14">
        <f t="shared" si="2"/>
        <v>28000</v>
      </c>
      <c r="O15" s="48">
        <v>0</v>
      </c>
      <c r="P15" s="49">
        <f t="shared" si="3"/>
        <v>28000</v>
      </c>
      <c r="Q15" s="50">
        <v>0</v>
      </c>
      <c r="R15" s="14">
        <f t="shared" si="4"/>
        <v>28000</v>
      </c>
    </row>
    <row r="16" spans="1:19" s="7" customFormat="1" outlineLevel="1" collapsed="1" x14ac:dyDescent="0.2">
      <c r="A16" s="6"/>
      <c r="B16" s="15" t="s">
        <v>102</v>
      </c>
      <c r="C16" s="12">
        <v>331492.65000000002</v>
      </c>
      <c r="D16" s="12">
        <v>151739.89000000001</v>
      </c>
      <c r="E16" s="12">
        <v>232741.48000000004</v>
      </c>
      <c r="F16" s="12">
        <f>SUM(F7:F15)</f>
        <v>179759</v>
      </c>
      <c r="G16" s="51">
        <f>(H16/F16)-1</f>
        <v>0</v>
      </c>
      <c r="H16" s="52">
        <f>SUM(H7:H15)</f>
        <v>179759</v>
      </c>
      <c r="I16" s="53">
        <f>SUM(I7:I15)</f>
        <v>141000</v>
      </c>
      <c r="J16" s="12">
        <f>SUM(J7:J15)</f>
        <v>159000</v>
      </c>
      <c r="K16" s="51">
        <f>(L16/J16)-1</f>
        <v>8.2389937106918332E-2</v>
      </c>
      <c r="L16" s="52">
        <f>SUM(L7:L15)</f>
        <v>172100</v>
      </c>
      <c r="M16" s="53">
        <f>SUM(M7:M15)</f>
        <v>45000</v>
      </c>
      <c r="N16" s="12">
        <f>SUM(N7:N15)</f>
        <v>217100</v>
      </c>
      <c r="O16" s="51">
        <f>(P16/N16)-1</f>
        <v>8.7102717641639904E-2</v>
      </c>
      <c r="P16" s="52">
        <f>SUM(P7:P15)</f>
        <v>236010</v>
      </c>
      <c r="Q16" s="53">
        <f>SUM(Q7:Q15)</f>
        <v>45000</v>
      </c>
      <c r="R16" s="12">
        <f>SUM(R7:R15)</f>
        <v>281010</v>
      </c>
      <c r="S16" s="7" t="s">
        <v>67</v>
      </c>
    </row>
    <row r="17" spans="1:19" s="11" customFormat="1" ht="11.25" hidden="1" customHeight="1" outlineLevel="2" x14ac:dyDescent="0.2">
      <c r="A17" s="9"/>
      <c r="B17" s="10" t="s">
        <v>1</v>
      </c>
      <c r="C17" s="14"/>
      <c r="D17" s="14"/>
      <c r="E17" s="14"/>
      <c r="F17" s="14">
        <v>76000</v>
      </c>
      <c r="G17" s="48">
        <v>0.05</v>
      </c>
      <c r="H17" s="49">
        <f>F17*(1+G17)</f>
        <v>79800</v>
      </c>
      <c r="I17" s="50">
        <v>120000</v>
      </c>
      <c r="J17" s="14">
        <f>(22+91+(4*18))*1000</f>
        <v>185000</v>
      </c>
      <c r="K17" s="48">
        <v>0.05</v>
      </c>
      <c r="L17" s="49">
        <f>J17*(1+K17)</f>
        <v>194250</v>
      </c>
      <c r="M17" s="50">
        <v>0</v>
      </c>
      <c r="N17" s="14">
        <f>L17+M17</f>
        <v>194250</v>
      </c>
      <c r="O17" s="48">
        <v>0.05</v>
      </c>
      <c r="P17" s="49">
        <f>N17*(1+O17)</f>
        <v>203962.5</v>
      </c>
      <c r="Q17" s="50">
        <v>0</v>
      </c>
      <c r="R17" s="14">
        <f>P17+Q17</f>
        <v>203962.5</v>
      </c>
    </row>
    <row r="18" spans="1:19" s="41" customFormat="1" ht="11.25" hidden="1" customHeight="1" outlineLevel="2" x14ac:dyDescent="0.2">
      <c r="A18" s="38">
        <v>0.1</v>
      </c>
      <c r="B18" s="39" t="s">
        <v>32</v>
      </c>
      <c r="C18" s="40"/>
      <c r="D18" s="40"/>
      <c r="E18" s="40"/>
      <c r="F18" s="40">
        <f>$A18*SUM(F17)</f>
        <v>7600</v>
      </c>
      <c r="G18" s="54"/>
      <c r="H18" s="55">
        <f>F18</f>
        <v>7600</v>
      </c>
      <c r="I18" s="56"/>
      <c r="J18" s="40">
        <f>$A18*SUM(J17)</f>
        <v>18500</v>
      </c>
      <c r="K18" s="54"/>
      <c r="L18" s="55">
        <f>J18</f>
        <v>18500</v>
      </c>
      <c r="M18" s="56"/>
      <c r="N18" s="40">
        <f>$A18*SUM(N17)</f>
        <v>19425</v>
      </c>
      <c r="O18" s="54"/>
      <c r="P18" s="55">
        <f>N18</f>
        <v>19425</v>
      </c>
      <c r="Q18" s="56"/>
      <c r="R18" s="40">
        <f>$A18*SUM(R17)</f>
        <v>20396.25</v>
      </c>
    </row>
    <row r="19" spans="1:19" s="11" customFormat="1" ht="11.25" hidden="1" customHeight="1" outlineLevel="2" x14ac:dyDescent="0.2">
      <c r="A19" s="9"/>
      <c r="B19" s="10" t="s">
        <v>133</v>
      </c>
      <c r="C19" s="14"/>
      <c r="D19" s="14"/>
      <c r="E19" s="14"/>
      <c r="F19" s="14">
        <v>0</v>
      </c>
      <c r="G19" s="48">
        <v>0</v>
      </c>
      <c r="H19" s="49">
        <f>F19*(1+G19)</f>
        <v>0</v>
      </c>
      <c r="I19" s="50">
        <v>30000</v>
      </c>
      <c r="J19" s="14">
        <v>35000</v>
      </c>
      <c r="K19" s="48">
        <v>0</v>
      </c>
      <c r="L19" s="49">
        <f>J19*(1+K19)</f>
        <v>35000</v>
      </c>
      <c r="M19" s="50">
        <v>2</v>
      </c>
      <c r="N19" s="14">
        <f>L19+M19</f>
        <v>35002</v>
      </c>
      <c r="O19" s="48">
        <v>0</v>
      </c>
      <c r="P19" s="49">
        <f>N19*(1+O19)</f>
        <v>35002</v>
      </c>
      <c r="Q19" s="50">
        <v>2</v>
      </c>
      <c r="R19" s="14">
        <f>P19+Q19</f>
        <v>35004</v>
      </c>
    </row>
    <row r="20" spans="1:19" s="11" customFormat="1" ht="11.25" hidden="1" customHeight="1" outlineLevel="2" x14ac:dyDescent="0.2">
      <c r="A20" s="9"/>
      <c r="B20" s="10" t="s">
        <v>134</v>
      </c>
      <c r="C20" s="14"/>
      <c r="D20" s="14"/>
      <c r="E20" s="14"/>
      <c r="F20" s="14">
        <v>0</v>
      </c>
      <c r="G20" s="48">
        <v>0</v>
      </c>
      <c r="H20" s="49">
        <f>F20*(1+G20)</f>
        <v>0</v>
      </c>
      <c r="I20" s="50">
        <v>3</v>
      </c>
      <c r="J20" s="14">
        <f>H20+I20</f>
        <v>3</v>
      </c>
      <c r="K20" s="48">
        <v>0</v>
      </c>
      <c r="L20" s="49">
        <f>J20*(1+K20)</f>
        <v>3</v>
      </c>
      <c r="M20" s="50">
        <v>3</v>
      </c>
      <c r="N20" s="14">
        <f>L20+M20</f>
        <v>6</v>
      </c>
      <c r="O20" s="48">
        <v>0</v>
      </c>
      <c r="P20" s="49">
        <f>N20*(1+O20)</f>
        <v>6</v>
      </c>
      <c r="Q20" s="50">
        <v>3</v>
      </c>
      <c r="R20" s="14">
        <f>P20+Q20</f>
        <v>9</v>
      </c>
    </row>
    <row r="21" spans="1:19" s="11" customFormat="1" ht="11.25" hidden="1" customHeight="1" outlineLevel="2" x14ac:dyDescent="0.2">
      <c r="A21" s="9"/>
      <c r="B21" s="10" t="s">
        <v>135</v>
      </c>
      <c r="C21" s="14"/>
      <c r="D21" s="14"/>
      <c r="E21" s="14"/>
      <c r="F21" s="14">
        <v>0</v>
      </c>
      <c r="G21" s="48">
        <v>0</v>
      </c>
      <c r="H21" s="49">
        <f>F21*(1+G21)</f>
        <v>0</v>
      </c>
      <c r="I21" s="50">
        <v>3</v>
      </c>
      <c r="J21" s="14">
        <f>H21+I21</f>
        <v>3</v>
      </c>
      <c r="K21" s="48">
        <v>0</v>
      </c>
      <c r="L21" s="49">
        <f>J21*(1+K21)</f>
        <v>3</v>
      </c>
      <c r="M21" s="50">
        <v>3</v>
      </c>
      <c r="N21" s="14">
        <f>L21+M21</f>
        <v>6</v>
      </c>
      <c r="O21" s="48">
        <v>0</v>
      </c>
      <c r="P21" s="49">
        <f>N21*(1+O21)</f>
        <v>6</v>
      </c>
      <c r="Q21" s="50">
        <v>3</v>
      </c>
      <c r="R21" s="14">
        <f>P21+Q21</f>
        <v>9</v>
      </c>
    </row>
    <row r="22" spans="1:19" s="7" customFormat="1" outlineLevel="1" collapsed="1" x14ac:dyDescent="0.2">
      <c r="A22" s="6"/>
      <c r="B22" s="15" t="s">
        <v>103</v>
      </c>
      <c r="C22" s="12">
        <v>45000</v>
      </c>
      <c r="D22" s="12">
        <v>149340.66999999998</v>
      </c>
      <c r="E22" s="12">
        <v>164362.37</v>
      </c>
      <c r="F22" s="12">
        <f>SUM(F17:F21)</f>
        <v>83600</v>
      </c>
      <c r="G22" s="51">
        <f>(H22/F22)-1</f>
        <v>4.5454545454545414E-2</v>
      </c>
      <c r="H22" s="52">
        <f>SUM(H17:H21)</f>
        <v>87400</v>
      </c>
      <c r="I22" s="53">
        <f>SUM(I17:I21)</f>
        <v>150006</v>
      </c>
      <c r="J22" s="12">
        <f>SUM(J17:J21)</f>
        <v>238506</v>
      </c>
      <c r="K22" s="51">
        <f>(L22/J22)-1</f>
        <v>3.8783091410698356E-2</v>
      </c>
      <c r="L22" s="52">
        <f>SUM(L17:L21)</f>
        <v>247756</v>
      </c>
      <c r="M22" s="53">
        <f>SUM(M17:M21)</f>
        <v>8</v>
      </c>
      <c r="N22" s="12">
        <f>SUM(N17:N21)</f>
        <v>248689</v>
      </c>
      <c r="O22" s="51">
        <f>(P22/N22)-1</f>
        <v>3.9054803388971715E-2</v>
      </c>
      <c r="P22" s="52">
        <f>SUM(P17:P21)</f>
        <v>258401.5</v>
      </c>
      <c r="Q22" s="53">
        <f>SUM(Q17:Q21)</f>
        <v>8</v>
      </c>
      <c r="R22" s="12">
        <f>SUM(R17:R21)</f>
        <v>259380.75</v>
      </c>
      <c r="S22" s="7" t="s">
        <v>68</v>
      </c>
    </row>
    <row r="23" spans="1:19" s="11" customFormat="1" ht="11.25" hidden="1" customHeight="1" outlineLevel="2" x14ac:dyDescent="0.2">
      <c r="A23" s="9"/>
      <c r="B23" s="10" t="s">
        <v>137</v>
      </c>
      <c r="C23" s="14"/>
      <c r="D23" s="14"/>
      <c r="E23" s="14"/>
      <c r="F23" s="14">
        <v>0</v>
      </c>
      <c r="G23" s="48">
        <v>0.25</v>
      </c>
      <c r="H23" s="49">
        <v>20000</v>
      </c>
      <c r="I23" s="50">
        <v>0</v>
      </c>
      <c r="J23" s="14">
        <f>H23+I23</f>
        <v>20000</v>
      </c>
      <c r="K23" s="48">
        <v>0.25</v>
      </c>
      <c r="L23" s="49">
        <f>J23*(1+K23)</f>
        <v>25000</v>
      </c>
      <c r="M23" s="50">
        <v>0</v>
      </c>
      <c r="N23" s="14">
        <f>L23+M23</f>
        <v>25000</v>
      </c>
      <c r="O23" s="48">
        <v>0.25</v>
      </c>
      <c r="P23" s="49">
        <f>N23*(1+O23)</f>
        <v>31250</v>
      </c>
      <c r="Q23" s="50">
        <v>0</v>
      </c>
      <c r="R23" s="14">
        <f>P23+Q23</f>
        <v>31250</v>
      </c>
    </row>
    <row r="24" spans="1:19" s="11" customFormat="1" ht="11.25" hidden="1" customHeight="1" outlineLevel="2" x14ac:dyDescent="0.2">
      <c r="A24" s="9"/>
      <c r="B24" s="10" t="s">
        <v>130</v>
      </c>
      <c r="C24" s="14"/>
      <c r="D24" s="14"/>
      <c r="E24" s="14"/>
      <c r="F24" s="14">
        <v>0</v>
      </c>
      <c r="G24" s="48">
        <v>0</v>
      </c>
      <c r="H24" s="49">
        <f>F24*(1+G24)</f>
        <v>0</v>
      </c>
      <c r="I24" s="50">
        <v>0</v>
      </c>
      <c r="J24" s="14">
        <f>H24+I24</f>
        <v>0</v>
      </c>
      <c r="K24" s="48">
        <v>0</v>
      </c>
      <c r="L24" s="49">
        <f>J24*(1+K24)</f>
        <v>0</v>
      </c>
      <c r="M24" s="50">
        <v>10000</v>
      </c>
      <c r="N24" s="14">
        <f>L24+M24</f>
        <v>10000</v>
      </c>
      <c r="O24" s="48">
        <v>0</v>
      </c>
      <c r="P24" s="49">
        <f>N24*(1+O24)</f>
        <v>10000</v>
      </c>
      <c r="Q24" s="50">
        <v>15000</v>
      </c>
      <c r="R24" s="14">
        <f>P24+Q24</f>
        <v>25000</v>
      </c>
    </row>
    <row r="25" spans="1:19" s="11" customFormat="1" ht="11.25" hidden="1" customHeight="1" outlineLevel="2" x14ac:dyDescent="0.2">
      <c r="A25" s="9"/>
      <c r="B25" s="10" t="s">
        <v>132</v>
      </c>
      <c r="C25" s="14"/>
      <c r="D25" s="14"/>
      <c r="E25" s="14"/>
      <c r="F25" s="14">
        <v>0</v>
      </c>
      <c r="G25" s="48">
        <v>0</v>
      </c>
      <c r="H25" s="49">
        <f>F25*(1+G25)</f>
        <v>0</v>
      </c>
      <c r="I25" s="50">
        <v>4</v>
      </c>
      <c r="J25" s="14">
        <f>H25+I25</f>
        <v>4</v>
      </c>
      <c r="K25" s="48">
        <v>0</v>
      </c>
      <c r="L25" s="49">
        <f>J25*(1+K25)</f>
        <v>4</v>
      </c>
      <c r="M25" s="50">
        <v>4</v>
      </c>
      <c r="N25" s="14">
        <f>L25+M25</f>
        <v>8</v>
      </c>
      <c r="O25" s="48">
        <v>0</v>
      </c>
      <c r="P25" s="49">
        <f>N25*(1+O25)</f>
        <v>8</v>
      </c>
      <c r="Q25" s="50">
        <v>4</v>
      </c>
      <c r="R25" s="14">
        <f>P25+Q25</f>
        <v>12</v>
      </c>
    </row>
    <row r="26" spans="1:19" s="11" customFormat="1" ht="11.25" hidden="1" customHeight="1" outlineLevel="2" x14ac:dyDescent="0.2">
      <c r="A26" s="9"/>
      <c r="B26" s="10" t="s">
        <v>131</v>
      </c>
      <c r="C26" s="14"/>
      <c r="D26" s="14"/>
      <c r="E26" s="14"/>
      <c r="F26" s="14">
        <v>0</v>
      </c>
      <c r="G26" s="48">
        <v>0</v>
      </c>
      <c r="H26" s="49">
        <f>F26*(1+G26)</f>
        <v>0</v>
      </c>
      <c r="I26" s="50">
        <v>4</v>
      </c>
      <c r="J26" s="14">
        <f>H26+I26</f>
        <v>4</v>
      </c>
      <c r="K26" s="48">
        <v>0</v>
      </c>
      <c r="L26" s="49">
        <f>J26*(1+K26)</f>
        <v>4</v>
      </c>
      <c r="M26" s="50">
        <v>4</v>
      </c>
      <c r="N26" s="14">
        <f>L26+M26</f>
        <v>8</v>
      </c>
      <c r="O26" s="48">
        <v>0</v>
      </c>
      <c r="P26" s="49">
        <f>N26*(1+O26)</f>
        <v>8</v>
      </c>
      <c r="Q26" s="50">
        <v>4</v>
      </c>
      <c r="R26" s="14">
        <f>P26+Q26</f>
        <v>12</v>
      </c>
    </row>
    <row r="27" spans="1:19" s="7" customFormat="1" outlineLevel="1" collapsed="1" x14ac:dyDescent="0.2">
      <c r="A27" s="6"/>
      <c r="B27" s="15" t="s">
        <v>104</v>
      </c>
      <c r="C27" s="12">
        <v>0</v>
      </c>
      <c r="D27" s="12">
        <v>10102.24</v>
      </c>
      <c r="E27" s="12">
        <v>4737.6499999999996</v>
      </c>
      <c r="F27" s="12">
        <f>SUM(F23:F26)</f>
        <v>0</v>
      </c>
      <c r="G27" s="51" t="e">
        <f>(H27/F27)-1</f>
        <v>#DIV/0!</v>
      </c>
      <c r="H27" s="52">
        <f>SUM(H23:H26)</f>
        <v>20000</v>
      </c>
      <c r="I27" s="53">
        <f>SUM(I23:I26)</f>
        <v>8</v>
      </c>
      <c r="J27" s="12">
        <f>SUM(J23:J26)</f>
        <v>20008</v>
      </c>
      <c r="K27" s="51">
        <f>(L27/J27)-1</f>
        <v>0.24990003998400634</v>
      </c>
      <c r="L27" s="52">
        <f>SUM(L23:L26)</f>
        <v>25008</v>
      </c>
      <c r="M27" s="53">
        <f>SUM(M23:M26)</f>
        <v>10008</v>
      </c>
      <c r="N27" s="12">
        <f>SUM(N23:N26)</f>
        <v>35016</v>
      </c>
      <c r="O27" s="51">
        <f>(P27/N27)-1</f>
        <v>0.17848983321909984</v>
      </c>
      <c r="P27" s="52">
        <f>SUM(P23:P26)</f>
        <v>41266</v>
      </c>
      <c r="Q27" s="53">
        <f>SUM(Q23:Q26)</f>
        <v>15008</v>
      </c>
      <c r="R27" s="12">
        <f>SUM(R23:R26)</f>
        <v>56274</v>
      </c>
      <c r="S27" s="7" t="s">
        <v>69</v>
      </c>
    </row>
    <row r="28" spans="1:19" s="7" customFormat="1" outlineLevel="1" x14ac:dyDescent="0.2">
      <c r="A28" s="6"/>
      <c r="B28" s="15" t="s">
        <v>105</v>
      </c>
      <c r="C28" s="12">
        <v>0</v>
      </c>
      <c r="D28" s="12">
        <v>27900</v>
      </c>
      <c r="E28" s="12">
        <v>-29133</v>
      </c>
      <c r="F28" s="12">
        <v>15000</v>
      </c>
      <c r="G28" s="51"/>
      <c r="H28" s="52"/>
      <c r="I28" s="53"/>
      <c r="J28" s="12"/>
      <c r="K28" s="51"/>
      <c r="L28" s="52"/>
      <c r="M28" s="53"/>
      <c r="N28" s="12"/>
      <c r="O28" s="51"/>
      <c r="P28" s="52"/>
      <c r="Q28" s="53"/>
      <c r="R28" s="12"/>
      <c r="S28" s="7" t="s">
        <v>87</v>
      </c>
    </row>
    <row r="29" spans="1:19" s="28" customFormat="1" ht="12.75" thickBot="1" x14ac:dyDescent="0.25">
      <c r="A29" s="25"/>
      <c r="B29" s="26" t="s">
        <v>23</v>
      </c>
      <c r="C29" s="27">
        <f>C27+C22+C16+C28</f>
        <v>376492.65</v>
      </c>
      <c r="D29" s="27">
        <f>D27+D22+D16+D28</f>
        <v>339082.8</v>
      </c>
      <c r="E29" s="27">
        <f>E27+E22+E16+E28</f>
        <v>372708.5</v>
      </c>
      <c r="F29" s="27">
        <f>F27+F22+F16+F28</f>
        <v>278359</v>
      </c>
      <c r="G29" s="57" t="e">
        <f>(H27/F27)-1</f>
        <v>#DIV/0!</v>
      </c>
      <c r="H29" s="58">
        <f>H27+H22+H16</f>
        <v>287159</v>
      </c>
      <c r="I29" s="58" t="e">
        <f>G27+G22+G16</f>
        <v>#DIV/0!</v>
      </c>
      <c r="J29" s="27">
        <f>J27+J22+J16+J28</f>
        <v>417514</v>
      </c>
      <c r="K29" s="57">
        <f>(L27/J27)-1</f>
        <v>0.24990003998400634</v>
      </c>
      <c r="L29" s="58">
        <f>L27+L22+L16</f>
        <v>444864</v>
      </c>
      <c r="M29" s="58">
        <f>K27+K22+K16</f>
        <v>0.37107306850162303</v>
      </c>
      <c r="N29" s="27">
        <f>N27+N22+N16+N28</f>
        <v>500805</v>
      </c>
      <c r="O29" s="57">
        <f>(P27/N27)-1</f>
        <v>0.17848983321909984</v>
      </c>
      <c r="P29" s="58">
        <f>P27+P22+P16</f>
        <v>535677.5</v>
      </c>
      <c r="Q29" s="58">
        <f>O27+O22+O16</f>
        <v>0.30464735424971146</v>
      </c>
      <c r="R29" s="27">
        <f>R27+R22+R16+R28</f>
        <v>596664.75</v>
      </c>
    </row>
    <row r="30" spans="1:19" s="11" customFormat="1" ht="11.25" hidden="1" customHeight="1" outlineLevel="2" thickTop="1" x14ac:dyDescent="0.2">
      <c r="A30" s="9"/>
      <c r="B30" s="10" t="s">
        <v>43</v>
      </c>
      <c r="C30" s="14"/>
      <c r="D30" s="14"/>
      <c r="E30" s="14"/>
      <c r="F30" s="14">
        <v>0</v>
      </c>
      <c r="G30" s="48">
        <v>0</v>
      </c>
      <c r="H30" s="49">
        <f>F30*(1+G30)</f>
        <v>0</v>
      </c>
      <c r="I30" s="50">
        <v>4</v>
      </c>
      <c r="J30" s="14">
        <f>H30+I30</f>
        <v>4</v>
      </c>
      <c r="K30" s="48">
        <v>0</v>
      </c>
      <c r="L30" s="49">
        <f>J30*(1+K30)</f>
        <v>4</v>
      </c>
      <c r="M30" s="50">
        <v>4</v>
      </c>
      <c r="N30" s="14">
        <f>L30+M30</f>
        <v>8</v>
      </c>
      <c r="O30" s="48">
        <v>0</v>
      </c>
      <c r="P30" s="49">
        <f>N30*(1+O30)</f>
        <v>8</v>
      </c>
      <c r="Q30" s="50">
        <v>4</v>
      </c>
      <c r="R30" s="14">
        <f>P30+Q30</f>
        <v>12</v>
      </c>
    </row>
    <row r="31" spans="1:19" s="11" customFormat="1" ht="11.25" hidden="1" customHeight="1" outlineLevel="2" x14ac:dyDescent="0.2">
      <c r="A31" s="9"/>
      <c r="B31" s="10" t="s">
        <v>44</v>
      </c>
      <c r="C31" s="14"/>
      <c r="D31" s="14"/>
      <c r="E31" s="14"/>
      <c r="F31" s="14">
        <v>5000</v>
      </c>
      <c r="G31" s="48">
        <v>0</v>
      </c>
      <c r="H31" s="49">
        <f>F31*(1+G31)</f>
        <v>5000</v>
      </c>
      <c r="I31" s="50">
        <v>4</v>
      </c>
      <c r="J31" s="14">
        <f>H31+I31</f>
        <v>5004</v>
      </c>
      <c r="K31" s="48">
        <v>0</v>
      </c>
      <c r="L31" s="49">
        <f>J31*(1+K31)</f>
        <v>5004</v>
      </c>
      <c r="M31" s="50">
        <v>4</v>
      </c>
      <c r="N31" s="14">
        <f>L31+M31</f>
        <v>5008</v>
      </c>
      <c r="O31" s="48">
        <v>0</v>
      </c>
      <c r="P31" s="49">
        <f>N31*(1+O31)</f>
        <v>5008</v>
      </c>
      <c r="Q31" s="50">
        <v>4</v>
      </c>
      <c r="R31" s="14">
        <f>P31+Q31</f>
        <v>5012</v>
      </c>
    </row>
    <row r="32" spans="1:19" s="11" customFormat="1" ht="11.25" hidden="1" customHeight="1" outlineLevel="2" x14ac:dyDescent="0.2">
      <c r="A32" s="9"/>
      <c r="B32" s="10" t="s">
        <v>2</v>
      </c>
      <c r="C32" s="14"/>
      <c r="D32" s="14"/>
      <c r="E32" s="14"/>
      <c r="F32" s="14">
        <v>0</v>
      </c>
      <c r="G32" s="48">
        <v>0</v>
      </c>
      <c r="H32" s="49">
        <f>F32*(1+G32)</f>
        <v>0</v>
      </c>
      <c r="I32" s="50">
        <v>4</v>
      </c>
      <c r="J32" s="14">
        <f>H32+I32</f>
        <v>4</v>
      </c>
      <c r="K32" s="48">
        <v>0</v>
      </c>
      <c r="L32" s="49">
        <f>J32*(1+K32)</f>
        <v>4</v>
      </c>
      <c r="M32" s="50">
        <v>4</v>
      </c>
      <c r="N32" s="14">
        <f>L32+M32</f>
        <v>8</v>
      </c>
      <c r="O32" s="48">
        <v>0</v>
      </c>
      <c r="P32" s="49">
        <f>N32*(1+O32)</f>
        <v>8</v>
      </c>
      <c r="Q32" s="50">
        <v>4</v>
      </c>
      <c r="R32" s="14">
        <f>P32+Q32</f>
        <v>12</v>
      </c>
    </row>
    <row r="33" spans="1:19" s="7" customFormat="1" ht="12" outlineLevel="1" collapsed="1" thickTop="1" x14ac:dyDescent="0.2">
      <c r="A33" s="6"/>
      <c r="B33" s="15" t="s">
        <v>106</v>
      </c>
      <c r="C33" s="12">
        <v>126191.09</v>
      </c>
      <c r="D33" s="12">
        <v>38681.699999999997</v>
      </c>
      <c r="E33" s="12">
        <v>62300.17</v>
      </c>
      <c r="F33" s="12">
        <f>SUM(F30:F32)</f>
        <v>5000</v>
      </c>
      <c r="G33" s="51">
        <f>(H33/F33)-1</f>
        <v>0</v>
      </c>
      <c r="H33" s="52">
        <f>SUM(H30:H32)</f>
        <v>5000</v>
      </c>
      <c r="I33" s="53">
        <f>SUM(I30:I32)</f>
        <v>12</v>
      </c>
      <c r="J33" s="12">
        <f>SUM(J30:J32)</f>
        <v>5012</v>
      </c>
      <c r="K33" s="51">
        <f>(L33/J33)-1</f>
        <v>0</v>
      </c>
      <c r="L33" s="52">
        <f>SUM(L30:L32)</f>
        <v>5012</v>
      </c>
      <c r="M33" s="53">
        <f>SUM(M30:M32)</f>
        <v>12</v>
      </c>
      <c r="N33" s="12">
        <f>SUM(N30:N32)</f>
        <v>5024</v>
      </c>
      <c r="O33" s="51">
        <f>(P33/N33)-1</f>
        <v>0</v>
      </c>
      <c r="P33" s="52">
        <f>SUM(P30:P32)</f>
        <v>5024</v>
      </c>
      <c r="Q33" s="53">
        <f>SUM(Q30:Q32)</f>
        <v>12</v>
      </c>
      <c r="R33" s="12">
        <f>SUM(R30:R32)</f>
        <v>5036</v>
      </c>
      <c r="S33" s="7" t="s">
        <v>70</v>
      </c>
    </row>
    <row r="34" spans="1:19" s="41" customFormat="1" ht="11.25" hidden="1" customHeight="1" outlineLevel="2" x14ac:dyDescent="0.2">
      <c r="A34" s="38">
        <f>1-0.196</f>
        <v>0.80400000000000005</v>
      </c>
      <c r="B34" s="39" t="s">
        <v>34</v>
      </c>
      <c r="C34" s="40"/>
      <c r="D34" s="40"/>
      <c r="E34" s="40"/>
      <c r="F34" s="40">
        <f>$A34*F18</f>
        <v>6110.4000000000005</v>
      </c>
      <c r="G34" s="54"/>
      <c r="H34" s="55">
        <f>F34</f>
        <v>6110.4000000000005</v>
      </c>
      <c r="I34" s="56"/>
      <c r="J34" s="40">
        <f>$A34*J18</f>
        <v>14874</v>
      </c>
      <c r="K34" s="54"/>
      <c r="L34" s="55">
        <f>J34</f>
        <v>14874</v>
      </c>
      <c r="M34" s="56"/>
      <c r="N34" s="40">
        <f>$A34*N18</f>
        <v>15617.7</v>
      </c>
      <c r="O34" s="54"/>
      <c r="P34" s="55">
        <f>N34</f>
        <v>15617.7</v>
      </c>
      <c r="Q34" s="56"/>
      <c r="R34" s="40">
        <f>$A34*R18</f>
        <v>16398.585000000003</v>
      </c>
    </row>
    <row r="35" spans="1:19" s="41" customFormat="1" ht="11.25" hidden="1" customHeight="1" outlineLevel="2" x14ac:dyDescent="0.2">
      <c r="A35" s="38">
        <v>0.15</v>
      </c>
      <c r="B35" s="39" t="s">
        <v>36</v>
      </c>
      <c r="C35" s="40"/>
      <c r="D35" s="40"/>
      <c r="E35" s="40"/>
      <c r="F35" s="40">
        <v>10500</v>
      </c>
      <c r="G35" s="54"/>
      <c r="H35" s="55">
        <f>F35</f>
        <v>10500</v>
      </c>
      <c r="I35" s="56"/>
      <c r="J35" s="40">
        <f>$A35*J27</f>
        <v>3001.2</v>
      </c>
      <c r="K35" s="54"/>
      <c r="L35" s="55">
        <f>J35</f>
        <v>3001.2</v>
      </c>
      <c r="M35" s="56"/>
      <c r="N35" s="40">
        <f>$A35*N27</f>
        <v>5252.4</v>
      </c>
      <c r="O35" s="54"/>
      <c r="P35" s="55">
        <f>N35</f>
        <v>5252.4</v>
      </c>
      <c r="Q35" s="56"/>
      <c r="R35" s="40">
        <f>$A35*R27</f>
        <v>8441.1</v>
      </c>
    </row>
    <row r="36" spans="1:19" s="11" customFormat="1" ht="11.25" hidden="1" customHeight="1" outlineLevel="2" x14ac:dyDescent="0.2">
      <c r="A36" s="9"/>
      <c r="B36" s="10" t="s">
        <v>64</v>
      </c>
      <c r="C36" s="14"/>
      <c r="D36" s="14"/>
      <c r="E36" s="14"/>
      <c r="F36" s="14">
        <v>2500</v>
      </c>
      <c r="G36" s="48">
        <v>0</v>
      </c>
      <c r="H36" s="49">
        <f>F36*(1+G36)</f>
        <v>2500</v>
      </c>
      <c r="I36" s="50">
        <v>4</v>
      </c>
      <c r="J36" s="14">
        <f>H36+I36</f>
        <v>2504</v>
      </c>
      <c r="K36" s="48">
        <v>0</v>
      </c>
      <c r="L36" s="49">
        <f>J36*(1+K36)</f>
        <v>2504</v>
      </c>
      <c r="M36" s="50">
        <v>4</v>
      </c>
      <c r="N36" s="14">
        <f>L36+M36</f>
        <v>2508</v>
      </c>
      <c r="O36" s="48">
        <v>0</v>
      </c>
      <c r="P36" s="49">
        <f>N36*(1+O36)</f>
        <v>2508</v>
      </c>
      <c r="Q36" s="50">
        <v>4</v>
      </c>
      <c r="R36" s="14">
        <f>P36+Q36</f>
        <v>2512</v>
      </c>
    </row>
    <row r="37" spans="1:19" s="11" customFormat="1" ht="11.25" hidden="1" customHeight="1" outlineLevel="2" x14ac:dyDescent="0.2">
      <c r="A37" s="9"/>
      <c r="B37" s="10" t="s">
        <v>85</v>
      </c>
      <c r="C37" s="14"/>
      <c r="D37" s="14"/>
      <c r="E37" s="14"/>
      <c r="F37" s="14">
        <v>500</v>
      </c>
      <c r="G37" s="48">
        <v>0</v>
      </c>
      <c r="H37" s="49">
        <f>F37*(1+G37)</f>
        <v>500</v>
      </c>
      <c r="I37" s="50">
        <v>4</v>
      </c>
      <c r="J37" s="14">
        <f>H37+I37</f>
        <v>504</v>
      </c>
      <c r="K37" s="48">
        <v>0</v>
      </c>
      <c r="L37" s="49">
        <f>J37*(1+K37)</f>
        <v>504</v>
      </c>
      <c r="M37" s="50">
        <v>4</v>
      </c>
      <c r="N37" s="14">
        <f>L37+M37</f>
        <v>508</v>
      </c>
      <c r="O37" s="48">
        <v>0</v>
      </c>
      <c r="P37" s="49">
        <f>N37*(1+O37)</f>
        <v>508</v>
      </c>
      <c r="Q37" s="50">
        <v>4</v>
      </c>
      <c r="R37" s="14">
        <f>P37+Q37</f>
        <v>512</v>
      </c>
    </row>
    <row r="38" spans="1:19" s="7" customFormat="1" outlineLevel="1" collapsed="1" x14ac:dyDescent="0.2">
      <c r="A38" s="6"/>
      <c r="B38" s="15" t="s">
        <v>107</v>
      </c>
      <c r="C38" s="12">
        <v>16445</v>
      </c>
      <c r="D38" s="12">
        <v>35233</v>
      </c>
      <c r="E38" s="12">
        <v>38577</v>
      </c>
      <c r="F38" s="72">
        <f>SUM(F34:F36)</f>
        <v>19110.400000000001</v>
      </c>
      <c r="G38" s="51">
        <f>(H38/F38)-1</f>
        <v>2.6163764233087639E-2</v>
      </c>
      <c r="H38" s="52">
        <f>SUM(H34:H37)</f>
        <v>19610.400000000001</v>
      </c>
      <c r="I38" s="53">
        <f>SUM(I34:I36)</f>
        <v>4</v>
      </c>
      <c r="J38" s="12">
        <f>SUM(J34:J37)</f>
        <v>20883.2</v>
      </c>
      <c r="K38" s="51">
        <f>(L38/J38)-1</f>
        <v>0</v>
      </c>
      <c r="L38" s="52">
        <f>SUM(L34:L37)</f>
        <v>20883.2</v>
      </c>
      <c r="M38" s="53">
        <f>SUM(M34:M37)</f>
        <v>8</v>
      </c>
      <c r="N38" s="12">
        <f>SUM(N34:N37)</f>
        <v>23886.1</v>
      </c>
      <c r="O38" s="51">
        <f>(P38/N38)-1</f>
        <v>0</v>
      </c>
      <c r="P38" s="52">
        <f>SUM(P34:P37)</f>
        <v>23886.1</v>
      </c>
      <c r="Q38" s="53">
        <f>SUM(Q34:Q37)</f>
        <v>8</v>
      </c>
      <c r="R38" s="12">
        <f>SUM(R34:R37)</f>
        <v>27863.685000000005</v>
      </c>
      <c r="S38" s="7" t="s">
        <v>71</v>
      </c>
    </row>
    <row r="39" spans="1:19" s="11" customFormat="1" ht="11.25" hidden="1" customHeight="1" outlineLevel="2" x14ac:dyDescent="0.2">
      <c r="A39" s="9"/>
      <c r="B39" s="10" t="s">
        <v>28</v>
      </c>
      <c r="C39" s="14"/>
      <c r="D39" s="14"/>
      <c r="E39" s="14"/>
      <c r="F39" s="14">
        <v>67000</v>
      </c>
      <c r="G39" s="48">
        <v>0.04</v>
      </c>
      <c r="H39" s="49">
        <f>F39*(1+G39)</f>
        <v>69680</v>
      </c>
      <c r="I39" s="50">
        <v>4</v>
      </c>
      <c r="J39" s="14">
        <f>H39+I39</f>
        <v>69684</v>
      </c>
      <c r="K39" s="48">
        <v>0.04</v>
      </c>
      <c r="L39" s="49">
        <f>J39*(1+K39)</f>
        <v>72471.360000000001</v>
      </c>
      <c r="M39" s="50">
        <v>4</v>
      </c>
      <c r="N39" s="14">
        <f>L39+M39</f>
        <v>72475.360000000001</v>
      </c>
      <c r="O39" s="48">
        <v>0.08</v>
      </c>
      <c r="P39" s="49">
        <f>N39*(1+O39)</f>
        <v>78273.388800000001</v>
      </c>
      <c r="Q39" s="50">
        <v>4</v>
      </c>
      <c r="R39" s="14">
        <f>P39+Q39</f>
        <v>78277.388800000001</v>
      </c>
    </row>
    <row r="40" spans="1:19" s="11" customFormat="1" ht="11.25" hidden="1" customHeight="1" outlineLevel="2" x14ac:dyDescent="0.2">
      <c r="A40" s="9"/>
      <c r="B40" s="10" t="s">
        <v>29</v>
      </c>
      <c r="C40" s="14"/>
      <c r="D40" s="14"/>
      <c r="E40" s="14"/>
      <c r="F40" s="14">
        <f>2900*12</f>
        <v>34800</v>
      </c>
      <c r="G40" s="48">
        <v>0.04</v>
      </c>
      <c r="H40" s="49">
        <f>F40*(1+G40)</f>
        <v>36192</v>
      </c>
      <c r="I40" s="50">
        <f>0</f>
        <v>0</v>
      </c>
      <c r="J40" s="14">
        <f>H40+I40</f>
        <v>36192</v>
      </c>
      <c r="K40" s="48">
        <v>0.04</v>
      </c>
      <c r="L40" s="49">
        <f>J40*(1+K40)</f>
        <v>37639.68</v>
      </c>
      <c r="M40" s="50">
        <v>4</v>
      </c>
      <c r="N40" s="14">
        <f>L40+M40</f>
        <v>37643.68</v>
      </c>
      <c r="O40" s="48">
        <v>0.08</v>
      </c>
      <c r="P40" s="49">
        <f>N40*(1+O40)</f>
        <v>40655.174400000004</v>
      </c>
      <c r="Q40" s="50">
        <v>4</v>
      </c>
      <c r="R40" s="14">
        <f>P40+Q40</f>
        <v>40659.174400000004</v>
      </c>
    </row>
    <row r="41" spans="1:19" s="11" customFormat="1" ht="11.25" hidden="1" customHeight="1" outlineLevel="2" x14ac:dyDescent="0.2">
      <c r="A41" s="9"/>
      <c r="B41" s="10" t="s">
        <v>30</v>
      </c>
      <c r="C41" s="14"/>
      <c r="D41" s="14"/>
      <c r="E41" s="14"/>
      <c r="F41" s="14">
        <f>2917*8</f>
        <v>23336</v>
      </c>
      <c r="G41" s="48">
        <v>0.04</v>
      </c>
      <c r="H41" s="49">
        <f>F41*(1+G41)</f>
        <v>24269.440000000002</v>
      </c>
      <c r="I41" s="50">
        <f>2917*4</f>
        <v>11668</v>
      </c>
      <c r="J41" s="14">
        <f>H41+I41</f>
        <v>35937.440000000002</v>
      </c>
      <c r="K41" s="48">
        <v>0.04</v>
      </c>
      <c r="L41" s="49">
        <f>J41*(1+K41)</f>
        <v>37374.937600000005</v>
      </c>
      <c r="M41" s="50">
        <v>0</v>
      </c>
      <c r="N41" s="14">
        <f>L41+M41</f>
        <v>37374.937600000005</v>
      </c>
      <c r="O41" s="48">
        <v>0.08</v>
      </c>
      <c r="P41" s="49">
        <f>N41*(1+O41)</f>
        <v>40364.93260800001</v>
      </c>
      <c r="Q41" s="50">
        <v>0</v>
      </c>
      <c r="R41" s="14">
        <f>P41+Q41</f>
        <v>40364.93260800001</v>
      </c>
    </row>
    <row r="42" spans="1:19" s="11" customFormat="1" ht="11.25" hidden="1" customHeight="1" outlineLevel="2" x14ac:dyDescent="0.2">
      <c r="A42" s="9"/>
      <c r="B42" s="10" t="s">
        <v>31</v>
      </c>
      <c r="C42" s="14"/>
      <c r="D42" s="14"/>
      <c r="E42" s="14"/>
      <c r="F42" s="14">
        <f>3583*9</f>
        <v>32247</v>
      </c>
      <c r="G42" s="48">
        <v>0.04</v>
      </c>
      <c r="H42" s="49">
        <f>F42*(1+G42)</f>
        <v>33536.880000000005</v>
      </c>
      <c r="I42" s="50">
        <f>3583*3</f>
        <v>10749</v>
      </c>
      <c r="J42" s="14">
        <f>H42+I42</f>
        <v>44285.880000000005</v>
      </c>
      <c r="K42" s="48">
        <v>0.04</v>
      </c>
      <c r="L42" s="49">
        <f>J42*(1+K42)</f>
        <v>46057.315200000005</v>
      </c>
      <c r="M42" s="50">
        <v>0</v>
      </c>
      <c r="N42" s="14">
        <f>L42+M42</f>
        <v>46057.315200000005</v>
      </c>
      <c r="O42" s="48">
        <v>0.08</v>
      </c>
      <c r="P42" s="49">
        <f>N42*(1+O42)</f>
        <v>49741.900416000011</v>
      </c>
      <c r="Q42" s="50">
        <v>0</v>
      </c>
      <c r="R42" s="14">
        <f>P42+Q42</f>
        <v>49741.900416000011</v>
      </c>
    </row>
    <row r="43" spans="1:19" s="41" customFormat="1" ht="11.25" hidden="1" customHeight="1" outlineLevel="2" x14ac:dyDescent="0.2">
      <c r="A43" s="38">
        <v>0.45</v>
      </c>
      <c r="B43" s="39" t="s">
        <v>33</v>
      </c>
      <c r="C43" s="40"/>
      <c r="D43" s="40"/>
      <c r="E43" s="40"/>
      <c r="F43" s="40">
        <f>$A43*SUM(F39:F42)</f>
        <v>70822.350000000006</v>
      </c>
      <c r="G43" s="54"/>
      <c r="H43" s="55">
        <f>F43</f>
        <v>70822.350000000006</v>
      </c>
      <c r="I43" s="56"/>
      <c r="J43" s="40">
        <f>$A43*SUM(J39:J42)</f>
        <v>83744.694000000003</v>
      </c>
      <c r="K43" s="54"/>
      <c r="L43" s="55">
        <f>J43</f>
        <v>83744.694000000003</v>
      </c>
      <c r="M43" s="56"/>
      <c r="N43" s="40">
        <f>$A43*SUM(N39:N42)</f>
        <v>87098.081760000015</v>
      </c>
      <c r="O43" s="54"/>
      <c r="P43" s="55">
        <f>N43</f>
        <v>87098.081760000015</v>
      </c>
      <c r="Q43" s="56"/>
      <c r="R43" s="40">
        <f>$A43*SUM(R39:R42)</f>
        <v>94069.528300800011</v>
      </c>
    </row>
    <row r="44" spans="1:19" s="41" customFormat="1" ht="11.25" hidden="1" customHeight="1" outlineLevel="2" x14ac:dyDescent="0.2">
      <c r="A44" s="38">
        <f>19*4.5*12</f>
        <v>1026</v>
      </c>
      <c r="B44" s="39" t="s">
        <v>58</v>
      </c>
      <c r="C44" s="40"/>
      <c r="D44" s="40"/>
      <c r="E44" s="40"/>
      <c r="F44" s="40">
        <f>F$6*$A44</f>
        <v>5130</v>
      </c>
      <c r="G44" s="54"/>
      <c r="H44" s="55">
        <f>F44</f>
        <v>5130</v>
      </c>
      <c r="I44" s="56"/>
      <c r="J44" s="40">
        <f>J$6*$A44</f>
        <v>5130</v>
      </c>
      <c r="K44" s="54"/>
      <c r="L44" s="55">
        <f>J44</f>
        <v>5130</v>
      </c>
      <c r="M44" s="56"/>
      <c r="N44" s="40">
        <f>N$6*$A44</f>
        <v>5130</v>
      </c>
      <c r="O44" s="54"/>
      <c r="P44" s="55">
        <f>N44</f>
        <v>5130</v>
      </c>
      <c r="Q44" s="56"/>
      <c r="R44" s="40">
        <f>R$6*$A44</f>
        <v>5130</v>
      </c>
    </row>
    <row r="45" spans="1:19" s="41" customFormat="1" ht="11.25" hidden="1" customHeight="1" outlineLevel="2" x14ac:dyDescent="0.2">
      <c r="A45" s="38">
        <v>150</v>
      </c>
      <c r="B45" s="39" t="s">
        <v>59</v>
      </c>
      <c r="C45" s="40"/>
      <c r="D45" s="40"/>
      <c r="E45" s="40"/>
      <c r="F45" s="40">
        <f>F$6*$A45</f>
        <v>750</v>
      </c>
      <c r="G45" s="54"/>
      <c r="H45" s="55">
        <f>F45</f>
        <v>750</v>
      </c>
      <c r="I45" s="56"/>
      <c r="J45" s="40">
        <f>J$6*$A45</f>
        <v>750</v>
      </c>
      <c r="K45" s="54"/>
      <c r="L45" s="55">
        <f>J45</f>
        <v>750</v>
      </c>
      <c r="M45" s="56"/>
      <c r="N45" s="40">
        <f>N$6*$A45</f>
        <v>750</v>
      </c>
      <c r="O45" s="54"/>
      <c r="P45" s="55">
        <f>N45</f>
        <v>750</v>
      </c>
      <c r="Q45" s="56"/>
      <c r="R45" s="40">
        <f>R$6*$A45</f>
        <v>750</v>
      </c>
    </row>
    <row r="46" spans="1:19" s="7" customFormat="1" outlineLevel="1" collapsed="1" x14ac:dyDescent="0.2">
      <c r="A46" s="6"/>
      <c r="B46" s="15" t="s">
        <v>108</v>
      </c>
      <c r="C46" s="12">
        <v>103960</v>
      </c>
      <c r="D46" s="12">
        <v>183447</v>
      </c>
      <c r="E46" s="12">
        <v>188783</v>
      </c>
      <c r="F46" s="12">
        <f>SUM(F39:F45)</f>
        <v>234085.35</v>
      </c>
      <c r="G46" s="51">
        <f>(H46/F46)-1</f>
        <v>2.689326777604828E-2</v>
      </c>
      <c r="H46" s="52">
        <f>SUM(H39:H45)</f>
        <v>240380.67</v>
      </c>
      <c r="I46" s="53">
        <f>SUM(I39:I45)</f>
        <v>22421</v>
      </c>
      <c r="J46" s="12">
        <f>SUM(J39:J45)</f>
        <v>275724.01400000002</v>
      </c>
      <c r="K46" s="51">
        <f>(L46/J46)-1</f>
        <v>2.6997912485054565E-2</v>
      </c>
      <c r="L46" s="52">
        <f>SUM(L39:L45)</f>
        <v>283167.98680000001</v>
      </c>
      <c r="M46" s="53">
        <f>SUM(M39:M45)</f>
        <v>8</v>
      </c>
      <c r="N46" s="12">
        <f>SUM(N39:N45)</f>
        <v>286529.37456000003</v>
      </c>
      <c r="O46" s="51">
        <f>(P46/N46)-1</f>
        <v>5.4040195521934509E-2</v>
      </c>
      <c r="P46" s="52">
        <f>SUM(P39:P45)</f>
        <v>302013.47798400006</v>
      </c>
      <c r="Q46" s="53">
        <f>SUM(Q39:Q45)</f>
        <v>8</v>
      </c>
      <c r="R46" s="12">
        <f>SUM(R39:R45)</f>
        <v>308992.92452480004</v>
      </c>
      <c r="S46" s="7" t="s">
        <v>72</v>
      </c>
    </row>
    <row r="47" spans="1:19" s="7" customFormat="1" outlineLevel="1" x14ac:dyDescent="0.2">
      <c r="A47" s="6"/>
      <c r="B47" s="15" t="s">
        <v>109</v>
      </c>
      <c r="C47" s="12">
        <v>2860</v>
      </c>
      <c r="D47" s="12">
        <v>2749</v>
      </c>
      <c r="E47" s="12">
        <v>2911</v>
      </c>
      <c r="F47" s="12">
        <v>3000</v>
      </c>
      <c r="G47" s="51">
        <v>0</v>
      </c>
      <c r="H47" s="52">
        <f>F47*(1+G47)</f>
        <v>3000</v>
      </c>
      <c r="I47" s="53">
        <v>0</v>
      </c>
      <c r="J47" s="12">
        <f>H47+I47</f>
        <v>3000</v>
      </c>
      <c r="K47" s="51">
        <v>0</v>
      </c>
      <c r="L47" s="52">
        <f>J47*(1+K47)</f>
        <v>3000</v>
      </c>
      <c r="M47" s="53">
        <v>0</v>
      </c>
      <c r="N47" s="12">
        <f>L47+M47</f>
        <v>3000</v>
      </c>
      <c r="O47" s="51">
        <v>0</v>
      </c>
      <c r="P47" s="52">
        <f>N47*(1+O47)</f>
        <v>3000</v>
      </c>
      <c r="Q47" s="53">
        <v>0</v>
      </c>
      <c r="R47" s="12">
        <f>P47+Q47</f>
        <v>3000</v>
      </c>
      <c r="S47" s="7" t="s">
        <v>86</v>
      </c>
    </row>
    <row r="48" spans="1:19" s="19" customFormat="1" x14ac:dyDescent="0.2">
      <c r="A48" s="16"/>
      <c r="B48" s="17" t="s">
        <v>35</v>
      </c>
      <c r="C48" s="18">
        <f>C46+C33+C38+C47</f>
        <v>249456.09</v>
      </c>
      <c r="D48" s="18">
        <f>D46+D33+D38+D47</f>
        <v>260110.7</v>
      </c>
      <c r="E48" s="18">
        <f>E46+E33+E38+E47</f>
        <v>292571.17</v>
      </c>
      <c r="F48" s="18">
        <f>F46+F33+F38+F47</f>
        <v>261195.75</v>
      </c>
      <c r="G48" s="59">
        <f>IF(F48=0,0,(H48/F48)-1)</f>
        <v>2.601619666476207E-2</v>
      </c>
      <c r="H48" s="60">
        <f>H46+H33+H38+H47</f>
        <v>267991.07</v>
      </c>
      <c r="I48" s="60">
        <f>I46+I33+I38+I47</f>
        <v>22437</v>
      </c>
      <c r="J48" s="18">
        <f>J46+J33+J38+J47</f>
        <v>304619.21400000004</v>
      </c>
      <c r="K48" s="59">
        <f>IF(J48=0,0,(L48/J48)-1)</f>
        <v>2.4436977242019875E-2</v>
      </c>
      <c r="L48" s="60">
        <f>L46+L33+L38+L47</f>
        <v>312063.18680000002</v>
      </c>
      <c r="M48" s="60">
        <f>M46+M33+M38</f>
        <v>28</v>
      </c>
      <c r="N48" s="18">
        <f>N46+N33+N38+N47</f>
        <v>318439.47456</v>
      </c>
      <c r="O48" s="59">
        <f>IF(N48=0,0,(P48/N48)-1)</f>
        <v>4.862494967181763E-2</v>
      </c>
      <c r="P48" s="60">
        <f>P46+P33+P38+P47</f>
        <v>333923.57798400003</v>
      </c>
      <c r="Q48" s="60">
        <f>Q46+Q33+Q38+Q47</f>
        <v>28</v>
      </c>
      <c r="R48" s="18">
        <f>R46+R33+R38+R47</f>
        <v>344892.60952480003</v>
      </c>
    </row>
    <row r="49" spans="1:19" s="33" customFormat="1" ht="12" x14ac:dyDescent="0.2">
      <c r="A49" s="22"/>
      <c r="B49" s="22" t="s">
        <v>22</v>
      </c>
      <c r="C49" s="32">
        <f>C29-C48</f>
        <v>127036.56000000003</v>
      </c>
      <c r="D49" s="32">
        <f>D29-D48</f>
        <v>78972.099999999977</v>
      </c>
      <c r="E49" s="32">
        <f>E29-E48</f>
        <v>80137.330000000016</v>
      </c>
      <c r="F49" s="32">
        <f>F29-F48</f>
        <v>17163.25</v>
      </c>
      <c r="G49" s="61">
        <f>H49/F49-1</f>
        <v>0.11680072247389006</v>
      </c>
      <c r="H49" s="62">
        <f>H29-H48</f>
        <v>19167.929999999993</v>
      </c>
      <c r="I49" s="62" t="e">
        <f>I29-I48</f>
        <v>#DIV/0!</v>
      </c>
      <c r="J49" s="32">
        <f>J29-J48</f>
        <v>112894.78599999996</v>
      </c>
      <c r="K49" s="61">
        <f>L49/J49-1</f>
        <v>0.17632370727909441</v>
      </c>
      <c r="L49" s="62">
        <f>L29-L48</f>
        <v>132800.81319999998</v>
      </c>
      <c r="M49" s="62">
        <f>M29-M48</f>
        <v>-27.628926931498377</v>
      </c>
      <c r="N49" s="32">
        <f>N29-N48</f>
        <v>182365.52544</v>
      </c>
      <c r="O49" s="61">
        <f>P49/N49-1</f>
        <v>0.10631612816743119</v>
      </c>
      <c r="P49" s="62">
        <f>P29-P48</f>
        <v>201753.92201599997</v>
      </c>
      <c r="Q49" s="62">
        <f>Q29-Q48</f>
        <v>-27.69535264575029</v>
      </c>
      <c r="R49" s="32">
        <f>R29-R48</f>
        <v>251772.14047519997</v>
      </c>
    </row>
    <row r="50" spans="1:19" s="37" customFormat="1" ht="12" thickBot="1" x14ac:dyDescent="0.25">
      <c r="A50" s="34"/>
      <c r="B50" s="35" t="s">
        <v>20</v>
      </c>
      <c r="C50" s="36">
        <f>C49/C29</f>
        <v>0.3374210890969585</v>
      </c>
      <c r="D50" s="36">
        <f>D49/D29</f>
        <v>0.23289916209256259</v>
      </c>
      <c r="E50" s="36">
        <f>E49/E29</f>
        <v>0.21501342201747484</v>
      </c>
      <c r="F50" s="36">
        <f>F49/F29</f>
        <v>6.1658685366738637E-2</v>
      </c>
      <c r="G50" s="63">
        <f>(H50-F50)*10000</f>
        <v>50.915470828798369</v>
      </c>
      <c r="H50" s="64">
        <f>H49/H29</f>
        <v>6.6750232449618474E-2</v>
      </c>
      <c r="I50" s="65"/>
      <c r="J50" s="36">
        <f>J49/J29</f>
        <v>0.27039760582878647</v>
      </c>
      <c r="K50" s="63">
        <f>(L50-J50)*10000</f>
        <v>281.2242096591927</v>
      </c>
      <c r="L50" s="64">
        <f>L49/L29</f>
        <v>0.29852002679470574</v>
      </c>
      <c r="M50" s="65"/>
      <c r="N50" s="36">
        <f>N49/N29</f>
        <v>0.36414477778776172</v>
      </c>
      <c r="O50" s="63">
        <f>(P50-N50)*10000</f>
        <v>124.88405454020801</v>
      </c>
      <c r="P50" s="64">
        <f>P49/P29</f>
        <v>0.37663318324178252</v>
      </c>
      <c r="Q50" s="65"/>
      <c r="R50" s="36">
        <f>R49/R29</f>
        <v>0.42196583672020171</v>
      </c>
    </row>
    <row r="51" spans="1:19" s="11" customFormat="1" ht="11.25" hidden="1" customHeight="1" outlineLevel="2" thickTop="1" x14ac:dyDescent="0.2">
      <c r="A51" s="9"/>
      <c r="B51" s="10" t="s">
        <v>9</v>
      </c>
      <c r="C51" s="14"/>
      <c r="D51" s="14"/>
      <c r="E51" s="14"/>
      <c r="F51" s="14">
        <v>750</v>
      </c>
      <c r="G51" s="48">
        <v>0.05</v>
      </c>
      <c r="H51" s="49">
        <f>F51*(1+G51)</f>
        <v>787.5</v>
      </c>
      <c r="I51" s="50">
        <v>4</v>
      </c>
      <c r="J51" s="14">
        <f>H51+I51</f>
        <v>791.5</v>
      </c>
      <c r="K51" s="48">
        <v>0.05</v>
      </c>
      <c r="L51" s="49">
        <f>J51*(1+K51)</f>
        <v>831.07500000000005</v>
      </c>
      <c r="M51" s="50">
        <v>4</v>
      </c>
      <c r="N51" s="14">
        <f>L51+M51</f>
        <v>835.07500000000005</v>
      </c>
      <c r="O51" s="48">
        <v>0.05</v>
      </c>
      <c r="P51" s="49">
        <f>N51*(1+O51)</f>
        <v>876.82875000000013</v>
      </c>
      <c r="Q51" s="50">
        <v>4</v>
      </c>
      <c r="R51" s="14">
        <f>P51+Q51</f>
        <v>880.82875000000013</v>
      </c>
    </row>
    <row r="52" spans="1:19" s="11" customFormat="1" ht="11.25" hidden="1" customHeight="1" outlineLevel="2" x14ac:dyDescent="0.2">
      <c r="A52" s="9"/>
      <c r="B52" s="10" t="s">
        <v>10</v>
      </c>
      <c r="C52" s="14"/>
      <c r="D52" s="14"/>
      <c r="E52" s="14"/>
      <c r="F52" s="14">
        <v>13000</v>
      </c>
      <c r="G52" s="48">
        <v>0.05</v>
      </c>
      <c r="H52" s="49">
        <f>F52*(1+G52)</f>
        <v>13650</v>
      </c>
      <c r="I52" s="50">
        <v>4</v>
      </c>
      <c r="J52" s="14">
        <f>H52+I52</f>
        <v>13654</v>
      </c>
      <c r="K52" s="48">
        <v>0.05</v>
      </c>
      <c r="L52" s="49">
        <f>J52*(1+K52)</f>
        <v>14336.7</v>
      </c>
      <c r="M52" s="50">
        <v>4</v>
      </c>
      <c r="N52" s="14">
        <f>L52+M52</f>
        <v>14340.7</v>
      </c>
      <c r="O52" s="48">
        <v>0.05</v>
      </c>
      <c r="P52" s="49">
        <f>N52*(1+O52)</f>
        <v>15057.735000000001</v>
      </c>
      <c r="Q52" s="50">
        <v>4</v>
      </c>
      <c r="R52" s="14">
        <f>P52+Q52</f>
        <v>15061.735000000001</v>
      </c>
    </row>
    <row r="53" spans="1:19" s="11" customFormat="1" ht="11.25" hidden="1" customHeight="1" outlineLevel="2" x14ac:dyDescent="0.2">
      <c r="A53" s="9"/>
      <c r="B53" s="10" t="s">
        <v>11</v>
      </c>
      <c r="C53" s="14"/>
      <c r="D53" s="14"/>
      <c r="E53" s="14"/>
      <c r="F53" s="14">
        <v>4000</v>
      </c>
      <c r="G53" s="48">
        <v>0.05</v>
      </c>
      <c r="H53" s="49">
        <f>F53*(1+G53)</f>
        <v>4200</v>
      </c>
      <c r="I53" s="50">
        <v>4</v>
      </c>
      <c r="J53" s="14">
        <f>H53+I53</f>
        <v>4204</v>
      </c>
      <c r="K53" s="48">
        <v>0.05</v>
      </c>
      <c r="L53" s="49">
        <f>J53*(1+K53)</f>
        <v>4414.2</v>
      </c>
      <c r="M53" s="50">
        <v>4</v>
      </c>
      <c r="N53" s="14">
        <f>L53+M53</f>
        <v>4418.2</v>
      </c>
      <c r="O53" s="48">
        <v>0.05</v>
      </c>
      <c r="P53" s="49">
        <f>N53*(1+O53)</f>
        <v>4639.1099999999997</v>
      </c>
      <c r="Q53" s="50">
        <v>4</v>
      </c>
      <c r="R53" s="14">
        <f>P53+Q53</f>
        <v>4643.1099999999997</v>
      </c>
    </row>
    <row r="54" spans="1:19" s="11" customFormat="1" ht="11.25" hidden="1" customHeight="1" outlineLevel="2" x14ac:dyDescent="0.2">
      <c r="A54" s="9"/>
      <c r="B54" s="10" t="s">
        <v>12</v>
      </c>
      <c r="C54" s="14"/>
      <c r="D54" s="14"/>
      <c r="E54" s="14"/>
      <c r="F54" s="14">
        <v>1200</v>
      </c>
      <c r="G54" s="48">
        <v>0.05</v>
      </c>
      <c r="H54" s="49">
        <f>F54*(1+G54)</f>
        <v>1260</v>
      </c>
      <c r="I54" s="50">
        <v>4</v>
      </c>
      <c r="J54" s="14">
        <f>H54+I54</f>
        <v>1264</v>
      </c>
      <c r="K54" s="48">
        <v>0.05</v>
      </c>
      <c r="L54" s="49">
        <f>J54*(1+K54)</f>
        <v>1327.2</v>
      </c>
      <c r="M54" s="50">
        <v>4</v>
      </c>
      <c r="N54" s="14">
        <f>L54+M54</f>
        <v>1331.2</v>
      </c>
      <c r="O54" s="48">
        <v>0.05</v>
      </c>
      <c r="P54" s="49">
        <f>N54*(1+O54)</f>
        <v>1397.7600000000002</v>
      </c>
      <c r="Q54" s="50">
        <v>4</v>
      </c>
      <c r="R54" s="14">
        <f>P54+Q54</f>
        <v>1401.7600000000002</v>
      </c>
    </row>
    <row r="55" spans="1:19" s="7" customFormat="1" ht="12" outlineLevel="1" collapsed="1" thickTop="1" x14ac:dyDescent="0.2">
      <c r="A55" s="6"/>
      <c r="B55" s="15" t="s">
        <v>110</v>
      </c>
      <c r="C55" s="12">
        <v>13824</v>
      </c>
      <c r="D55" s="12">
        <v>14211</v>
      </c>
      <c r="E55" s="12">
        <v>18146</v>
      </c>
      <c r="F55" s="12">
        <f>SUM(F51:F54)</f>
        <v>18950</v>
      </c>
      <c r="G55" s="51">
        <f>(H55/F55)-1</f>
        <v>5.0000000000000044E-2</v>
      </c>
      <c r="H55" s="52">
        <f>SUM(H51:H54)</f>
        <v>19897.5</v>
      </c>
      <c r="I55" s="53">
        <f>SUM(I51:I54)</f>
        <v>16</v>
      </c>
      <c r="J55" s="12">
        <f>SUM(J51:J54)</f>
        <v>19913.5</v>
      </c>
      <c r="K55" s="51">
        <f>(L55/J55)-1</f>
        <v>5.0000000000000044E-2</v>
      </c>
      <c r="L55" s="52">
        <f>SUM(L51:L54)</f>
        <v>20909.175000000003</v>
      </c>
      <c r="M55" s="53">
        <f>SUM(M51:M54)</f>
        <v>16</v>
      </c>
      <c r="N55" s="12">
        <f>SUM(N51:N54)</f>
        <v>20925.175000000003</v>
      </c>
      <c r="O55" s="51">
        <f>(P55/N55)-1</f>
        <v>5.0000000000000044E-2</v>
      </c>
      <c r="P55" s="52">
        <f>SUM(P51:P54)</f>
        <v>21971.433750000004</v>
      </c>
      <c r="Q55" s="53">
        <f>SUM(Q51:Q54)</f>
        <v>16</v>
      </c>
      <c r="R55" s="12">
        <f>SUM(R51:R54)</f>
        <v>21987.433750000004</v>
      </c>
      <c r="S55" s="7" t="s">
        <v>73</v>
      </c>
    </row>
    <row r="56" spans="1:19" s="11" customFormat="1" ht="11.25" hidden="1" customHeight="1" outlineLevel="2" x14ac:dyDescent="0.2">
      <c r="A56" s="9"/>
      <c r="B56" s="10" t="s">
        <v>3</v>
      </c>
      <c r="C56" s="14"/>
      <c r="D56" s="14"/>
      <c r="E56" s="14"/>
      <c r="F56" s="14">
        <v>1308</v>
      </c>
      <c r="G56" s="48">
        <v>0.03</v>
      </c>
      <c r="H56" s="49">
        <f t="shared" ref="H56:H62" si="18">F56*(1+G56)</f>
        <v>1347.24</v>
      </c>
      <c r="I56" s="50">
        <v>4</v>
      </c>
      <c r="J56" s="14">
        <f t="shared" ref="J56:J62" si="19">H56+I56</f>
        <v>1351.24</v>
      </c>
      <c r="K56" s="48">
        <v>0.03</v>
      </c>
      <c r="L56" s="49">
        <f t="shared" ref="L56:L62" si="20">J56*(1+K56)</f>
        <v>1391.7772</v>
      </c>
      <c r="M56" s="50">
        <v>4</v>
      </c>
      <c r="N56" s="14">
        <f t="shared" ref="N56:N62" si="21">L56+M56</f>
        <v>1395.7772</v>
      </c>
      <c r="O56" s="48">
        <v>0.03</v>
      </c>
      <c r="P56" s="49">
        <f t="shared" ref="P56:P62" si="22">N56*(1+O56)</f>
        <v>1437.6505159999999</v>
      </c>
      <c r="Q56" s="50">
        <v>4</v>
      </c>
      <c r="R56" s="14">
        <f t="shared" ref="R56:R62" si="23">P56+Q56</f>
        <v>1441.6505159999999</v>
      </c>
    </row>
    <row r="57" spans="1:19" s="11" customFormat="1" ht="11.25" hidden="1" customHeight="1" outlineLevel="2" x14ac:dyDescent="0.2">
      <c r="A57" s="9"/>
      <c r="B57" s="10" t="s">
        <v>4</v>
      </c>
      <c r="C57" s="14"/>
      <c r="D57" s="14"/>
      <c r="E57" s="14"/>
      <c r="F57" s="14">
        <v>300</v>
      </c>
      <c r="G57" s="48">
        <v>0.03</v>
      </c>
      <c r="H57" s="49">
        <f t="shared" si="18"/>
        <v>309</v>
      </c>
      <c r="I57" s="50">
        <v>4</v>
      </c>
      <c r="J57" s="14">
        <f t="shared" si="19"/>
        <v>313</v>
      </c>
      <c r="K57" s="48">
        <v>0.03</v>
      </c>
      <c r="L57" s="49">
        <f t="shared" si="20"/>
        <v>322.39</v>
      </c>
      <c r="M57" s="50">
        <v>4</v>
      </c>
      <c r="N57" s="14">
        <f t="shared" si="21"/>
        <v>326.39</v>
      </c>
      <c r="O57" s="48">
        <v>0.03</v>
      </c>
      <c r="P57" s="49">
        <f t="shared" si="22"/>
        <v>336.18169999999998</v>
      </c>
      <c r="Q57" s="50">
        <v>4</v>
      </c>
      <c r="R57" s="14">
        <f t="shared" si="23"/>
        <v>340.18169999999998</v>
      </c>
    </row>
    <row r="58" spans="1:19" s="11" customFormat="1" ht="11.25" hidden="1" customHeight="1" outlineLevel="2" x14ac:dyDescent="0.2">
      <c r="A58" s="9"/>
      <c r="B58" s="10" t="s">
        <v>5</v>
      </c>
      <c r="C58" s="14"/>
      <c r="D58" s="14"/>
      <c r="E58" s="14"/>
      <c r="F58" s="14">
        <v>390</v>
      </c>
      <c r="G58" s="48">
        <v>0.03</v>
      </c>
      <c r="H58" s="49">
        <f t="shared" si="18"/>
        <v>401.7</v>
      </c>
      <c r="I58" s="50">
        <v>4</v>
      </c>
      <c r="J58" s="14">
        <f t="shared" si="19"/>
        <v>405.7</v>
      </c>
      <c r="K58" s="48">
        <v>0.03</v>
      </c>
      <c r="L58" s="49">
        <f t="shared" si="20"/>
        <v>417.87099999999998</v>
      </c>
      <c r="M58" s="50">
        <v>4</v>
      </c>
      <c r="N58" s="14">
        <f t="shared" si="21"/>
        <v>421.87099999999998</v>
      </c>
      <c r="O58" s="48">
        <v>0.03</v>
      </c>
      <c r="P58" s="49">
        <f t="shared" si="22"/>
        <v>434.52713</v>
      </c>
      <c r="Q58" s="50">
        <v>4</v>
      </c>
      <c r="R58" s="14">
        <f t="shared" si="23"/>
        <v>438.52713</v>
      </c>
    </row>
    <row r="59" spans="1:19" s="11" customFormat="1" ht="11.25" hidden="1" customHeight="1" outlineLevel="2" x14ac:dyDescent="0.2">
      <c r="A59" s="9"/>
      <c r="B59" s="10" t="s">
        <v>6</v>
      </c>
      <c r="C59" s="14"/>
      <c r="D59" s="14"/>
      <c r="E59" s="14"/>
      <c r="F59" s="14">
        <v>2191</v>
      </c>
      <c r="G59" s="48">
        <v>-1</v>
      </c>
      <c r="H59" s="49">
        <f t="shared" si="18"/>
        <v>0</v>
      </c>
      <c r="I59" s="50">
        <v>4</v>
      </c>
      <c r="J59" s="14">
        <f t="shared" si="19"/>
        <v>4</v>
      </c>
      <c r="K59" s="48">
        <v>0.05</v>
      </c>
      <c r="L59" s="49">
        <f t="shared" si="20"/>
        <v>4.2</v>
      </c>
      <c r="M59" s="50">
        <v>4</v>
      </c>
      <c r="N59" s="14">
        <f t="shared" si="21"/>
        <v>8.1999999999999993</v>
      </c>
      <c r="O59" s="48">
        <v>0.05</v>
      </c>
      <c r="P59" s="49">
        <f t="shared" si="22"/>
        <v>8.61</v>
      </c>
      <c r="Q59" s="50">
        <v>4</v>
      </c>
      <c r="R59" s="14">
        <f t="shared" si="23"/>
        <v>12.61</v>
      </c>
    </row>
    <row r="60" spans="1:19" s="11" customFormat="1" ht="11.25" hidden="1" customHeight="1" outlineLevel="2" x14ac:dyDescent="0.2">
      <c r="A60" s="9"/>
      <c r="B60" s="10" t="s">
        <v>7</v>
      </c>
      <c r="C60" s="14"/>
      <c r="D60" s="14"/>
      <c r="E60" s="14"/>
      <c r="F60" s="14">
        <v>1508</v>
      </c>
      <c r="G60" s="48">
        <v>0.03</v>
      </c>
      <c r="H60" s="49">
        <f t="shared" si="18"/>
        <v>1553.24</v>
      </c>
      <c r="I60" s="50">
        <v>4</v>
      </c>
      <c r="J60" s="14">
        <f t="shared" si="19"/>
        <v>1557.24</v>
      </c>
      <c r="K60" s="48">
        <v>0.03</v>
      </c>
      <c r="L60" s="49">
        <f t="shared" si="20"/>
        <v>1603.9572000000001</v>
      </c>
      <c r="M60" s="50">
        <v>4</v>
      </c>
      <c r="N60" s="14">
        <f t="shared" si="21"/>
        <v>1607.9572000000001</v>
      </c>
      <c r="O60" s="48">
        <v>0.03</v>
      </c>
      <c r="P60" s="49">
        <f t="shared" si="22"/>
        <v>1656.1959160000001</v>
      </c>
      <c r="Q60" s="50">
        <v>4</v>
      </c>
      <c r="R60" s="14">
        <f t="shared" si="23"/>
        <v>1660.1959160000001</v>
      </c>
    </row>
    <row r="61" spans="1:19" s="11" customFormat="1" ht="11.25" hidden="1" customHeight="1" outlineLevel="2" x14ac:dyDescent="0.2">
      <c r="A61" s="9"/>
      <c r="B61" s="10" t="s">
        <v>8</v>
      </c>
      <c r="C61" s="14"/>
      <c r="D61" s="14"/>
      <c r="E61" s="14"/>
      <c r="F61" s="14">
        <v>514</v>
      </c>
      <c r="G61" s="48">
        <v>0.03</v>
      </c>
      <c r="H61" s="49">
        <f t="shared" si="18"/>
        <v>529.41999999999996</v>
      </c>
      <c r="I61" s="50">
        <v>4</v>
      </c>
      <c r="J61" s="14">
        <f t="shared" si="19"/>
        <v>533.41999999999996</v>
      </c>
      <c r="K61" s="48">
        <v>0.03</v>
      </c>
      <c r="L61" s="49">
        <f t="shared" si="20"/>
        <v>549.42259999999999</v>
      </c>
      <c r="M61" s="50">
        <v>4</v>
      </c>
      <c r="N61" s="14">
        <f t="shared" si="21"/>
        <v>553.42259999999999</v>
      </c>
      <c r="O61" s="48">
        <v>0.03</v>
      </c>
      <c r="P61" s="49">
        <f t="shared" si="22"/>
        <v>570.02527799999996</v>
      </c>
      <c r="Q61" s="50">
        <v>4</v>
      </c>
      <c r="R61" s="14">
        <f t="shared" si="23"/>
        <v>574.02527799999996</v>
      </c>
    </row>
    <row r="62" spans="1:19" s="11" customFormat="1" ht="11.25" hidden="1" customHeight="1" outlineLevel="2" x14ac:dyDescent="0.2">
      <c r="A62" s="9"/>
      <c r="B62" s="10" t="s">
        <v>13</v>
      </c>
      <c r="C62" s="14"/>
      <c r="D62" s="14"/>
      <c r="E62" s="14"/>
      <c r="F62" s="14">
        <v>3000</v>
      </c>
      <c r="G62" s="48">
        <v>0.1</v>
      </c>
      <c r="H62" s="49">
        <f t="shared" si="18"/>
        <v>3300.0000000000005</v>
      </c>
      <c r="I62" s="50">
        <v>4</v>
      </c>
      <c r="J62" s="14">
        <f t="shared" si="19"/>
        <v>3304.0000000000005</v>
      </c>
      <c r="K62" s="48">
        <v>0.1</v>
      </c>
      <c r="L62" s="49">
        <f t="shared" si="20"/>
        <v>3634.400000000001</v>
      </c>
      <c r="M62" s="50">
        <v>4</v>
      </c>
      <c r="N62" s="14">
        <f t="shared" si="21"/>
        <v>3638.400000000001</v>
      </c>
      <c r="O62" s="48">
        <v>0.1</v>
      </c>
      <c r="P62" s="49">
        <f t="shared" si="22"/>
        <v>4002.2400000000016</v>
      </c>
      <c r="Q62" s="50">
        <v>4</v>
      </c>
      <c r="R62" s="14">
        <f t="shared" si="23"/>
        <v>4006.2400000000016</v>
      </c>
    </row>
    <row r="63" spans="1:19" s="7" customFormat="1" outlineLevel="1" collapsed="1" x14ac:dyDescent="0.2">
      <c r="A63" s="6"/>
      <c r="B63" s="15" t="s">
        <v>111</v>
      </c>
      <c r="C63" s="12">
        <v>6600</v>
      </c>
      <c r="D63" s="12">
        <v>13764</v>
      </c>
      <c r="E63" s="12">
        <v>21093</v>
      </c>
      <c r="F63" s="12">
        <f>SUM(F56:F62)</f>
        <v>9211</v>
      </c>
      <c r="G63" s="51">
        <f>(H63/F63)-1</f>
        <v>-0.19220497231570943</v>
      </c>
      <c r="H63" s="52">
        <f>SUM(H56:H62)</f>
        <v>7440.6</v>
      </c>
      <c r="I63" s="53">
        <f>SUM(I56:I62)</f>
        <v>28</v>
      </c>
      <c r="J63" s="12">
        <f>SUM(J56:J62)</f>
        <v>7468.6</v>
      </c>
      <c r="K63" s="51">
        <f>(L63/J63)-1</f>
        <v>6.0977693275848122E-2</v>
      </c>
      <c r="L63" s="52">
        <f>SUM(L56:L62)</f>
        <v>7924.018</v>
      </c>
      <c r="M63" s="53">
        <f>SUM(M56:M62)</f>
        <v>28</v>
      </c>
      <c r="N63" s="12">
        <f>SUM(N56:N62)</f>
        <v>7952.018</v>
      </c>
      <c r="O63" s="51">
        <f>(P63/N63)-1</f>
        <v>6.2048720211649533E-2</v>
      </c>
      <c r="P63" s="52">
        <f>SUM(P56:P62)</f>
        <v>8445.4305400000012</v>
      </c>
      <c r="Q63" s="53">
        <f>SUM(Q56:Q62)</f>
        <v>28</v>
      </c>
      <c r="R63" s="12">
        <f>SUM(R56:R62)</f>
        <v>8473.4305400000012</v>
      </c>
      <c r="S63" s="7" t="s">
        <v>74</v>
      </c>
    </row>
    <row r="64" spans="1:19" s="11" customFormat="1" ht="11.25" hidden="1" customHeight="1" outlineLevel="2" x14ac:dyDescent="0.2">
      <c r="A64" s="9"/>
      <c r="B64" s="10" t="s">
        <v>138</v>
      </c>
      <c r="C64" s="14"/>
      <c r="D64" s="14"/>
      <c r="E64" s="14"/>
      <c r="F64" s="14">
        <v>6000</v>
      </c>
      <c r="G64" s="48">
        <v>0</v>
      </c>
      <c r="H64" s="49">
        <f>F64*(1+G64)</f>
        <v>6000</v>
      </c>
      <c r="I64" s="50">
        <v>4</v>
      </c>
      <c r="J64" s="14">
        <f>H64+I64</f>
        <v>6004</v>
      </c>
      <c r="K64" s="48">
        <v>0</v>
      </c>
      <c r="L64" s="49">
        <f>J64*(1+K64)</f>
        <v>6004</v>
      </c>
      <c r="M64" s="50">
        <v>4</v>
      </c>
      <c r="N64" s="14">
        <f>L64+M64</f>
        <v>6008</v>
      </c>
      <c r="O64" s="48">
        <v>0</v>
      </c>
      <c r="P64" s="49">
        <f>N64*(1+O64)</f>
        <v>6008</v>
      </c>
      <c r="Q64" s="50">
        <v>4</v>
      </c>
      <c r="R64" s="14">
        <f>P64+Q64</f>
        <v>6012</v>
      </c>
    </row>
    <row r="65" spans="1:19" s="11" customFormat="1" ht="11.25" hidden="1" customHeight="1" outlineLevel="2" x14ac:dyDescent="0.2">
      <c r="A65" s="9"/>
      <c r="B65" s="10" t="s">
        <v>52</v>
      </c>
      <c r="C65" s="14"/>
      <c r="D65" s="14"/>
      <c r="E65" s="14"/>
      <c r="F65" s="14">
        <v>3000</v>
      </c>
      <c r="G65" s="48">
        <v>0</v>
      </c>
      <c r="H65" s="49">
        <f>F65*(1+G65)</f>
        <v>3000</v>
      </c>
      <c r="I65" s="50">
        <v>4</v>
      </c>
      <c r="J65" s="14">
        <f>H65+I65</f>
        <v>3004</v>
      </c>
      <c r="K65" s="48">
        <v>0</v>
      </c>
      <c r="L65" s="49">
        <f>J65*(1+K65)</f>
        <v>3004</v>
      </c>
      <c r="M65" s="50">
        <v>4</v>
      </c>
      <c r="N65" s="14">
        <f>L65+M65</f>
        <v>3008</v>
      </c>
      <c r="O65" s="48">
        <v>0</v>
      </c>
      <c r="P65" s="49">
        <f>N65*(1+O65)</f>
        <v>3008</v>
      </c>
      <c r="Q65" s="50">
        <v>4</v>
      </c>
      <c r="R65" s="14">
        <f>P65+Q65</f>
        <v>3012</v>
      </c>
    </row>
    <row r="66" spans="1:19" s="11" customFormat="1" ht="11.25" hidden="1" customHeight="1" outlineLevel="2" x14ac:dyDescent="0.2">
      <c r="A66" s="9"/>
      <c r="B66" s="10" t="s">
        <v>129</v>
      </c>
      <c r="C66" s="14"/>
      <c r="D66" s="14"/>
      <c r="E66" s="14"/>
      <c r="F66" s="14">
        <v>12000</v>
      </c>
      <c r="G66" s="48">
        <v>0</v>
      </c>
      <c r="H66" s="49">
        <v>0</v>
      </c>
      <c r="I66" s="50">
        <v>4</v>
      </c>
      <c r="J66" s="14">
        <f>H66+I66</f>
        <v>4</v>
      </c>
      <c r="K66" s="48">
        <v>0</v>
      </c>
      <c r="L66" s="49">
        <f>J66*(1+K66)</f>
        <v>4</v>
      </c>
      <c r="M66" s="50">
        <v>4</v>
      </c>
      <c r="N66" s="14">
        <f>L66+M66</f>
        <v>8</v>
      </c>
      <c r="O66" s="48">
        <v>0</v>
      </c>
      <c r="P66" s="49">
        <f>N66*(1+O66)</f>
        <v>8</v>
      </c>
      <c r="Q66" s="50">
        <v>4</v>
      </c>
      <c r="R66" s="14">
        <f>P66+Q66</f>
        <v>12</v>
      </c>
    </row>
    <row r="67" spans="1:19" s="11" customFormat="1" ht="11.25" hidden="1" customHeight="1" outlineLevel="2" x14ac:dyDescent="0.2">
      <c r="A67" s="9"/>
      <c r="B67" s="10" t="s">
        <v>128</v>
      </c>
      <c r="C67" s="14"/>
      <c r="D67" s="14"/>
      <c r="E67" s="14"/>
      <c r="F67" s="14">
        <v>3000</v>
      </c>
      <c r="G67" s="48">
        <v>0</v>
      </c>
      <c r="H67" s="49">
        <f>F67*(1+G67)</f>
        <v>3000</v>
      </c>
      <c r="I67" s="50">
        <v>4</v>
      </c>
      <c r="J67" s="14">
        <f>H67+I67</f>
        <v>3004</v>
      </c>
      <c r="K67" s="48">
        <v>0</v>
      </c>
      <c r="L67" s="49">
        <f>J67*(1+K67)</f>
        <v>3004</v>
      </c>
      <c r="M67" s="50">
        <v>4</v>
      </c>
      <c r="N67" s="14">
        <f>L67+M67</f>
        <v>3008</v>
      </c>
      <c r="O67" s="48">
        <v>0</v>
      </c>
      <c r="P67" s="49">
        <f>N67*(1+O67)</f>
        <v>3008</v>
      </c>
      <c r="Q67" s="50">
        <v>4</v>
      </c>
      <c r="R67" s="14">
        <f>P67+Q67</f>
        <v>3012</v>
      </c>
    </row>
    <row r="68" spans="1:19" s="11" customFormat="1" ht="11.25" hidden="1" customHeight="1" outlineLevel="2" x14ac:dyDescent="0.2">
      <c r="A68" s="9"/>
      <c r="B68" s="10" t="s">
        <v>53</v>
      </c>
      <c r="C68" s="14"/>
      <c r="D68" s="14"/>
      <c r="E68" s="14"/>
      <c r="F68" s="14">
        <v>0</v>
      </c>
      <c r="G68" s="48">
        <v>0</v>
      </c>
      <c r="H68" s="49">
        <f>F68*(1+G68)</f>
        <v>0</v>
      </c>
      <c r="I68" s="50">
        <v>4</v>
      </c>
      <c r="J68" s="14">
        <f>H68+I68</f>
        <v>4</v>
      </c>
      <c r="K68" s="48">
        <v>0</v>
      </c>
      <c r="L68" s="49">
        <f>J68*(1+K68)</f>
        <v>4</v>
      </c>
      <c r="M68" s="50">
        <v>4</v>
      </c>
      <c r="N68" s="14">
        <f>L68+M68</f>
        <v>8</v>
      </c>
      <c r="O68" s="48">
        <v>0</v>
      </c>
      <c r="P68" s="49">
        <f>N68*(1+O68)</f>
        <v>8</v>
      </c>
      <c r="Q68" s="50">
        <v>4</v>
      </c>
      <c r="R68" s="14">
        <f>P68+Q68</f>
        <v>12</v>
      </c>
    </row>
    <row r="69" spans="1:19" s="7" customFormat="1" outlineLevel="1" collapsed="1" x14ac:dyDescent="0.2">
      <c r="A69" s="6"/>
      <c r="B69" s="15" t="s">
        <v>112</v>
      </c>
      <c r="C69" s="12">
        <v>75370</v>
      </c>
      <c r="D69" s="12">
        <v>50307</v>
      </c>
      <c r="E69" s="12">
        <v>43712</v>
      </c>
      <c r="F69" s="12">
        <f>SUM(F64:F68)</f>
        <v>24000</v>
      </c>
      <c r="G69" s="51">
        <f>(H69/F69)-1</f>
        <v>-0.5</v>
      </c>
      <c r="H69" s="52">
        <f>SUM(H64:H68)</f>
        <v>12000</v>
      </c>
      <c r="I69" s="53">
        <f>SUM(I64:I68)</f>
        <v>20</v>
      </c>
      <c r="J69" s="12">
        <f>SUM(J64:J68)</f>
        <v>12020</v>
      </c>
      <c r="K69" s="51">
        <f>(L69/J69)-1</f>
        <v>0</v>
      </c>
      <c r="L69" s="52">
        <f>SUM(L64:L68)</f>
        <v>12020</v>
      </c>
      <c r="M69" s="53">
        <f>SUM(M64:M68)</f>
        <v>20</v>
      </c>
      <c r="N69" s="12">
        <f>SUM(N64:N68)</f>
        <v>12040</v>
      </c>
      <c r="O69" s="51">
        <f>(P69/N69)-1</f>
        <v>0</v>
      </c>
      <c r="P69" s="52">
        <f>SUM(P64:P68)</f>
        <v>12040</v>
      </c>
      <c r="Q69" s="53">
        <f>SUM(Q64:Q68)</f>
        <v>20</v>
      </c>
      <c r="R69" s="12">
        <f>SUM(R64:R68)</f>
        <v>12060</v>
      </c>
      <c r="S69" s="7" t="s">
        <v>75</v>
      </c>
    </row>
    <row r="70" spans="1:19" s="11" customFormat="1" ht="11.25" hidden="1" customHeight="1" outlineLevel="2" x14ac:dyDescent="0.2">
      <c r="A70" s="9"/>
      <c r="B70" s="10" t="s">
        <v>48</v>
      </c>
      <c r="C70" s="14"/>
      <c r="D70" s="14"/>
      <c r="E70" s="14"/>
      <c r="F70" s="14">
        <v>300</v>
      </c>
      <c r="G70" s="48">
        <v>0</v>
      </c>
      <c r="H70" s="49">
        <f>F70*(1+G70)</f>
        <v>300</v>
      </c>
      <c r="I70" s="50">
        <v>2500</v>
      </c>
      <c r="J70" s="14">
        <f>H70+I70</f>
        <v>2800</v>
      </c>
      <c r="K70" s="48">
        <v>0.05</v>
      </c>
      <c r="L70" s="49">
        <f>J70*(1+K70)</f>
        <v>2940</v>
      </c>
      <c r="M70" s="50">
        <v>4</v>
      </c>
      <c r="N70" s="14">
        <f>L70+M70</f>
        <v>2944</v>
      </c>
      <c r="O70" s="48">
        <v>0.05</v>
      </c>
      <c r="P70" s="49">
        <f>N70*(1+O70)</f>
        <v>3091.2000000000003</v>
      </c>
      <c r="Q70" s="50">
        <v>4</v>
      </c>
      <c r="R70" s="14">
        <f>P70+Q70</f>
        <v>3095.2000000000003</v>
      </c>
    </row>
    <row r="71" spans="1:19" s="11" customFormat="1" ht="11.25" hidden="1" customHeight="1" outlineLevel="2" x14ac:dyDescent="0.2">
      <c r="A71" s="9"/>
      <c r="B71" s="10" t="s">
        <v>49</v>
      </c>
      <c r="C71" s="14"/>
      <c r="D71" s="14"/>
      <c r="E71" s="14"/>
      <c r="F71" s="14">
        <v>2000</v>
      </c>
      <c r="G71" s="48">
        <v>0</v>
      </c>
      <c r="H71" s="49">
        <f>F71*(1+G71)</f>
        <v>2000</v>
      </c>
      <c r="I71" s="50">
        <v>4</v>
      </c>
      <c r="J71" s="14">
        <f>H71+I71</f>
        <v>2004</v>
      </c>
      <c r="K71" s="48">
        <v>0</v>
      </c>
      <c r="L71" s="49">
        <f>J71*(1+K71)</f>
        <v>2004</v>
      </c>
      <c r="M71" s="50">
        <v>4</v>
      </c>
      <c r="N71" s="14">
        <f>L71+M71</f>
        <v>2008</v>
      </c>
      <c r="O71" s="48">
        <v>0</v>
      </c>
      <c r="P71" s="49">
        <f>N71*(1+O71)</f>
        <v>2008</v>
      </c>
      <c r="Q71" s="50">
        <v>4</v>
      </c>
      <c r="R71" s="14">
        <f>P71+Q71</f>
        <v>2012</v>
      </c>
    </row>
    <row r="72" spans="1:19" s="11" customFormat="1" ht="11.25" hidden="1" customHeight="1" outlineLevel="2" x14ac:dyDescent="0.2">
      <c r="A72" s="9"/>
      <c r="B72" s="10" t="s">
        <v>62</v>
      </c>
      <c r="C72" s="14"/>
      <c r="D72" s="14"/>
      <c r="E72" s="14"/>
      <c r="F72" s="14">
        <v>1560</v>
      </c>
      <c r="G72" s="48">
        <v>0</v>
      </c>
      <c r="H72" s="49">
        <f>F72*(1+G72)</f>
        <v>1560</v>
      </c>
      <c r="I72" s="50">
        <v>4</v>
      </c>
      <c r="J72" s="14">
        <f>H72+I72</f>
        <v>1564</v>
      </c>
      <c r="K72" s="48">
        <v>0</v>
      </c>
      <c r="L72" s="49">
        <f>J72*(1+K72)</f>
        <v>1564</v>
      </c>
      <c r="M72" s="50">
        <v>4</v>
      </c>
      <c r="N72" s="14">
        <f>L72+M72</f>
        <v>1568</v>
      </c>
      <c r="O72" s="48">
        <v>0</v>
      </c>
      <c r="P72" s="49">
        <f>N72*(1+O72)</f>
        <v>1568</v>
      </c>
      <c r="Q72" s="50">
        <v>4</v>
      </c>
      <c r="R72" s="14">
        <f>P72+Q72</f>
        <v>1572</v>
      </c>
    </row>
    <row r="73" spans="1:19" s="11" customFormat="1" ht="11.25" hidden="1" customHeight="1" outlineLevel="2" x14ac:dyDescent="0.2">
      <c r="A73" s="9"/>
      <c r="B73" s="10" t="s">
        <v>63</v>
      </c>
      <c r="C73" s="14"/>
      <c r="D73" s="14"/>
      <c r="E73" s="14"/>
      <c r="F73" s="14">
        <f>120*12*3</f>
        <v>4320</v>
      </c>
      <c r="G73" s="48">
        <v>0</v>
      </c>
      <c r="H73" s="49">
        <f>F73*(1+G73)</f>
        <v>4320</v>
      </c>
      <c r="I73" s="50">
        <v>4</v>
      </c>
      <c r="J73" s="14">
        <f>H73+I73</f>
        <v>4324</v>
      </c>
      <c r="K73" s="48">
        <v>0</v>
      </c>
      <c r="L73" s="49">
        <f>J73*(1+K73)</f>
        <v>4324</v>
      </c>
      <c r="M73" s="50">
        <v>4</v>
      </c>
      <c r="N73" s="14">
        <f>L73+M73</f>
        <v>4328</v>
      </c>
      <c r="O73" s="48">
        <v>0</v>
      </c>
      <c r="P73" s="49">
        <f>N73*(1+O73)</f>
        <v>4328</v>
      </c>
      <c r="Q73" s="50">
        <v>4</v>
      </c>
      <c r="R73" s="14">
        <f>P73+Q73</f>
        <v>4332</v>
      </c>
    </row>
    <row r="74" spans="1:19" s="41" customFormat="1" ht="11.25" hidden="1" customHeight="1" outlineLevel="2" x14ac:dyDescent="0.2">
      <c r="A74" s="38">
        <v>750</v>
      </c>
      <c r="B74" s="39" t="s">
        <v>50</v>
      </c>
      <c r="C74" s="40"/>
      <c r="D74" s="40"/>
      <c r="E74" s="40"/>
      <c r="F74" s="40">
        <f>$A74*0.5</f>
        <v>375</v>
      </c>
      <c r="G74" s="54"/>
      <c r="H74" s="55">
        <f>F74</f>
        <v>375</v>
      </c>
      <c r="I74" s="56"/>
      <c r="J74" s="40">
        <f>$A74*0.5</f>
        <v>375</v>
      </c>
      <c r="K74" s="54"/>
      <c r="L74" s="55">
        <f>J74</f>
        <v>375</v>
      </c>
      <c r="M74" s="56"/>
      <c r="N74" s="40">
        <f>$A74*0.5</f>
        <v>375</v>
      </c>
      <c r="O74" s="54"/>
      <c r="P74" s="55">
        <f>N74</f>
        <v>375</v>
      </c>
      <c r="Q74" s="56"/>
      <c r="R74" s="40">
        <f>$A74*0.5</f>
        <v>375</v>
      </c>
    </row>
    <row r="75" spans="1:19" s="41" customFormat="1" ht="11.25" hidden="1" customHeight="1" outlineLevel="2" x14ac:dyDescent="0.2">
      <c r="A75" s="38">
        <v>350</v>
      </c>
      <c r="B75" s="39" t="s">
        <v>47</v>
      </c>
      <c r="C75" s="40"/>
      <c r="D75" s="40"/>
      <c r="E75" s="40"/>
      <c r="F75" s="40">
        <f>$A75*F$6*0.25</f>
        <v>437.5</v>
      </c>
      <c r="G75" s="54"/>
      <c r="H75" s="55">
        <f>F75</f>
        <v>437.5</v>
      </c>
      <c r="I75" s="56"/>
      <c r="J75" s="40">
        <f>$A75*J$6*0.25</f>
        <v>437.5</v>
      </c>
      <c r="K75" s="54"/>
      <c r="L75" s="55">
        <f>J75</f>
        <v>437.5</v>
      </c>
      <c r="M75" s="56"/>
      <c r="N75" s="40">
        <f>$A75*N$6*0.25</f>
        <v>437.5</v>
      </c>
      <c r="O75" s="54"/>
      <c r="P75" s="55">
        <f>N75</f>
        <v>437.5</v>
      </c>
      <c r="Q75" s="56"/>
      <c r="R75" s="40">
        <f>$A75*R$6*0.25</f>
        <v>437.5</v>
      </c>
    </row>
    <row r="76" spans="1:19" s="41" customFormat="1" ht="11.25" hidden="1" customHeight="1" outlineLevel="2" x14ac:dyDescent="0.2">
      <c r="A76" s="38">
        <v>1000</v>
      </c>
      <c r="B76" s="39" t="s">
        <v>46</v>
      </c>
      <c r="C76" s="40"/>
      <c r="D76" s="40"/>
      <c r="E76" s="40"/>
      <c r="F76" s="40">
        <f>$A76*F$6*0.5</f>
        <v>2500</v>
      </c>
      <c r="G76" s="54"/>
      <c r="H76" s="55">
        <f>F76</f>
        <v>2500</v>
      </c>
      <c r="I76" s="56"/>
      <c r="J76" s="40">
        <f>$A76*J$6*0.5</f>
        <v>2500</v>
      </c>
      <c r="K76" s="54"/>
      <c r="L76" s="55">
        <f>J76</f>
        <v>2500</v>
      </c>
      <c r="M76" s="56"/>
      <c r="N76" s="40">
        <f>$A76*N$6*0.5</f>
        <v>2500</v>
      </c>
      <c r="O76" s="54"/>
      <c r="P76" s="55">
        <f>N76</f>
        <v>2500</v>
      </c>
      <c r="Q76" s="56"/>
      <c r="R76" s="40">
        <f>$A76*R$6*0.5</f>
        <v>2500</v>
      </c>
    </row>
    <row r="77" spans="1:19" s="7" customFormat="1" outlineLevel="1" collapsed="1" x14ac:dyDescent="0.2">
      <c r="A77" s="6"/>
      <c r="B77" s="15" t="s">
        <v>113</v>
      </c>
      <c r="C77" s="12">
        <v>1953</v>
      </c>
      <c r="D77" s="12">
        <v>4378</v>
      </c>
      <c r="E77" s="12">
        <v>4708</v>
      </c>
      <c r="F77" s="12">
        <f>SUM(F70:F76)</f>
        <v>11492.5</v>
      </c>
      <c r="G77" s="51">
        <f>(H77/F77)-1</f>
        <v>0</v>
      </c>
      <c r="H77" s="52">
        <f>SUM(H70:H76)</f>
        <v>11492.5</v>
      </c>
      <c r="I77" s="53">
        <f>SUM(I70:I76)</f>
        <v>2512</v>
      </c>
      <c r="J77" s="12">
        <f>SUM(J70:J76)</f>
        <v>14004.5</v>
      </c>
      <c r="K77" s="51">
        <f>(L77/J77)-1</f>
        <v>9.9967867471169036E-3</v>
      </c>
      <c r="L77" s="52">
        <f>SUM(L70:L76)</f>
        <v>14144.5</v>
      </c>
      <c r="M77" s="53">
        <f>SUM(M70:M76)</f>
        <v>16</v>
      </c>
      <c r="N77" s="12">
        <f>SUM(N70:N76)</f>
        <v>14160.5</v>
      </c>
      <c r="O77" s="51">
        <f>(P77/N77)-1</f>
        <v>1.0395113166907999E-2</v>
      </c>
      <c r="P77" s="52">
        <f>SUM(P70:P76)</f>
        <v>14307.7</v>
      </c>
      <c r="Q77" s="53">
        <f>SUM(Q70:Q76)</f>
        <v>16</v>
      </c>
      <c r="R77" s="12">
        <f>SUM(R70:R76)</f>
        <v>14323.7</v>
      </c>
      <c r="S77" s="7" t="s">
        <v>76</v>
      </c>
    </row>
    <row r="78" spans="1:19" s="11" customFormat="1" ht="11.25" hidden="1" customHeight="1" outlineLevel="2" x14ac:dyDescent="0.2">
      <c r="A78" s="9"/>
      <c r="B78" s="10" t="s">
        <v>51</v>
      </c>
      <c r="C78" s="14"/>
      <c r="D78" s="14"/>
      <c r="E78" s="14"/>
      <c r="F78" s="14">
        <v>5190</v>
      </c>
      <c r="G78" s="48">
        <v>0</v>
      </c>
      <c r="H78" s="49">
        <f>F78*(1+G78)</f>
        <v>5190</v>
      </c>
      <c r="I78" s="50">
        <v>0</v>
      </c>
      <c r="J78" s="14">
        <v>0</v>
      </c>
      <c r="K78" s="48">
        <v>0</v>
      </c>
      <c r="L78" s="49">
        <f>J78*(1+K78)</f>
        <v>0</v>
      </c>
      <c r="M78" s="50">
        <v>0</v>
      </c>
      <c r="N78" s="14">
        <f>L78+M78</f>
        <v>0</v>
      </c>
      <c r="O78" s="48">
        <v>0</v>
      </c>
      <c r="P78" s="49">
        <f>N78*(1+O78)</f>
        <v>0</v>
      </c>
      <c r="Q78" s="50">
        <v>0</v>
      </c>
      <c r="R78" s="14">
        <f>P78+Q78</f>
        <v>0</v>
      </c>
    </row>
    <row r="79" spans="1:19" s="7" customFormat="1" outlineLevel="1" collapsed="1" x14ac:dyDescent="0.2">
      <c r="A79" s="6"/>
      <c r="B79" s="15" t="s">
        <v>114</v>
      </c>
      <c r="C79" s="12">
        <v>17079</v>
      </c>
      <c r="D79" s="12">
        <v>19097</v>
      </c>
      <c r="E79" s="12">
        <v>37984</v>
      </c>
      <c r="F79" s="12">
        <f>SUM(F78:F78)</f>
        <v>5190</v>
      </c>
      <c r="G79" s="51">
        <f>IF(H79=0,0,(H79/F79)-1)</f>
        <v>0</v>
      </c>
      <c r="H79" s="52">
        <f>SUM(H78:H78)</f>
        <v>5190</v>
      </c>
      <c r="I79" s="53">
        <f>SUM(I78)</f>
        <v>0</v>
      </c>
      <c r="J79" s="12">
        <f>SUM(J78:J78)</f>
        <v>0</v>
      </c>
      <c r="K79" s="51">
        <f>IF(L79=0,0,(L79/J79)-1)</f>
        <v>0</v>
      </c>
      <c r="L79" s="52">
        <f>SUM(L78:L78)</f>
        <v>0</v>
      </c>
      <c r="M79" s="53">
        <f>SUM(M78)</f>
        <v>0</v>
      </c>
      <c r="N79" s="12">
        <f>SUM(N78:N78)</f>
        <v>0</v>
      </c>
      <c r="O79" s="51">
        <f>IF(P79=0,0,(P79/N79)-1)</f>
        <v>0</v>
      </c>
      <c r="P79" s="52">
        <f>SUM(P78:P78)</f>
        <v>0</v>
      </c>
      <c r="Q79" s="53">
        <f>SUM(Q78)</f>
        <v>0</v>
      </c>
      <c r="R79" s="12">
        <f>SUM(R78:R78)</f>
        <v>0</v>
      </c>
      <c r="S79" s="7" t="s">
        <v>77</v>
      </c>
    </row>
    <row r="80" spans="1:19" s="19" customFormat="1" x14ac:dyDescent="0.2">
      <c r="A80" s="16"/>
      <c r="B80" s="17" t="s">
        <v>14</v>
      </c>
      <c r="C80" s="18">
        <f>C79+C77+C69+C63+C55</f>
        <v>114826</v>
      </c>
      <c r="D80" s="18">
        <f>D79+D77+D69+D63+D55</f>
        <v>101757</v>
      </c>
      <c r="E80" s="18">
        <f>E79+E77+E69+E63+E55</f>
        <v>125643</v>
      </c>
      <c r="F80" s="18">
        <f>F79+F77+F69+F63+F55</f>
        <v>68843.5</v>
      </c>
      <c r="G80" s="59">
        <f>IF(F80=0,0,(H80/F80)-1)</f>
        <v>-0.18626159332398851</v>
      </c>
      <c r="H80" s="60">
        <f>H79+H77+H69+H63+H55</f>
        <v>56020.6</v>
      </c>
      <c r="I80" s="60">
        <f>I79+I77+I69+I63+I55</f>
        <v>2576</v>
      </c>
      <c r="J80" s="18">
        <f>J79+J77+J69+J63+J55</f>
        <v>53406.6</v>
      </c>
      <c r="K80" s="59">
        <f>IF(J80=0,0,(L80/J80)-1)</f>
        <v>2.9792066898098657E-2</v>
      </c>
      <c r="L80" s="60">
        <f>L79+L77+L69+L63+L55</f>
        <v>54997.692999999999</v>
      </c>
      <c r="M80" s="60">
        <f>M79+M77+M69+M63+M55</f>
        <v>80</v>
      </c>
      <c r="N80" s="18">
        <f>N79+N77+N69+N63+N55</f>
        <v>55077.692999999999</v>
      </c>
      <c r="O80" s="59">
        <f>IF(N80=0,0,(P80/N80)-1)</f>
        <v>3.0627123216653285E-2</v>
      </c>
      <c r="P80" s="60">
        <f>P79+P77+P69+P63+P55</f>
        <v>56764.564290000002</v>
      </c>
      <c r="Q80" s="60">
        <f>Q79+Q77+Q69+Q63+Q55</f>
        <v>80</v>
      </c>
      <c r="R80" s="18">
        <f>R79+R77+R69+R63+R55</f>
        <v>56844.564290000002</v>
      </c>
    </row>
    <row r="81" spans="1:19" s="19" customFormat="1" x14ac:dyDescent="0.2">
      <c r="A81" s="16"/>
      <c r="B81" s="20" t="s">
        <v>17</v>
      </c>
      <c r="C81" s="21">
        <f>C80/C29</f>
        <v>0.30498868968623954</v>
      </c>
      <c r="D81" s="21">
        <f>D80/D29</f>
        <v>0.30009484409117776</v>
      </c>
      <c r="E81" s="21">
        <f>E80/E29</f>
        <v>0.33710795433965152</v>
      </c>
      <c r="F81" s="21">
        <f>F80/F29</f>
        <v>0.24731910949529204</v>
      </c>
      <c r="G81" s="59">
        <f>IF(F81=0,0,(H81/F81)-1)</f>
        <v>-0.21119864206266248</v>
      </c>
      <c r="H81" s="66">
        <f>H80/H29</f>
        <v>0.19508564941373943</v>
      </c>
      <c r="I81" s="66"/>
      <c r="J81" s="21">
        <f>J80/J29</f>
        <v>0.12791571061090168</v>
      </c>
      <c r="K81" s="59">
        <f>IF(J81=0,0,(L81/J81)-1)</f>
        <v>-3.351899677453607E-2</v>
      </c>
      <c r="L81" s="66">
        <f>L80/L29</f>
        <v>0.12362810431952237</v>
      </c>
      <c r="M81" s="66"/>
      <c r="N81" s="21">
        <f>N80/N29</f>
        <v>0.10997832090334561</v>
      </c>
      <c r="O81" s="59">
        <f>IF(N81=0,0,(P81/N81)-1)</f>
        <v>-3.6466500006970493E-2</v>
      </c>
      <c r="P81" s="66">
        <f>P80/P29</f>
        <v>0.10596779646335716</v>
      </c>
      <c r="Q81" s="66"/>
      <c r="R81" s="21">
        <f>R80/R29</f>
        <v>9.5270525517051244E-2</v>
      </c>
    </row>
    <row r="82" spans="1:19" s="33" customFormat="1" ht="12" x14ac:dyDescent="0.2">
      <c r="A82" s="22"/>
      <c r="B82" s="22" t="s">
        <v>15</v>
      </c>
      <c r="C82" s="32">
        <f>C49-C80</f>
        <v>12210.560000000027</v>
      </c>
      <c r="D82" s="32">
        <f>D49-D80</f>
        <v>-22784.900000000023</v>
      </c>
      <c r="E82" s="32">
        <f>E49-E80</f>
        <v>-45505.669999999984</v>
      </c>
      <c r="F82" s="32">
        <f>F49-F80</f>
        <v>-51680.25</v>
      </c>
      <c r="G82" s="61">
        <f>H82/F82-1</f>
        <v>-0.28690998979300597</v>
      </c>
      <c r="H82" s="62">
        <f>H49-H80</f>
        <v>-36852.670000000006</v>
      </c>
      <c r="I82" s="62"/>
      <c r="J82" s="32">
        <f>J49-J80</f>
        <v>59488.185999999965</v>
      </c>
      <c r="K82" s="61">
        <f>L82/J82-1</f>
        <v>0.30787515020209266</v>
      </c>
      <c r="L82" s="62">
        <f>L49-L80</f>
        <v>77803.120199999976</v>
      </c>
      <c r="M82" s="62"/>
      <c r="N82" s="32">
        <f>N49-N80</f>
        <v>127287.83244</v>
      </c>
      <c r="O82" s="61">
        <f>P82/N82-1</f>
        <v>0.1390669080200102</v>
      </c>
      <c r="P82" s="62">
        <f>P49-P80</f>
        <v>144989.35772599996</v>
      </c>
      <c r="Q82" s="62"/>
      <c r="R82" s="32">
        <f>R49-R80</f>
        <v>194927.57618519996</v>
      </c>
    </row>
    <row r="83" spans="1:19" s="37" customFormat="1" ht="12" thickBot="1" x14ac:dyDescent="0.25">
      <c r="A83" s="34"/>
      <c r="B83" s="35" t="s">
        <v>16</v>
      </c>
      <c r="C83" s="36">
        <f>C82/C29</f>
        <v>3.243239941071898E-2</v>
      </c>
      <c r="D83" s="36">
        <f>D82/D29</f>
        <v>-6.7195681998615156E-2</v>
      </c>
      <c r="E83" s="36">
        <f>E82/E29</f>
        <v>-0.12209453232217667</v>
      </c>
      <c r="F83" s="36">
        <f>F82/F29</f>
        <v>-0.18566042412855341</v>
      </c>
      <c r="G83" s="63">
        <f>(H83-F83)*10000</f>
        <v>573.25007164432475</v>
      </c>
      <c r="H83" s="64">
        <f>H82/H29</f>
        <v>-0.12833541696412093</v>
      </c>
      <c r="I83" s="64"/>
      <c r="J83" s="36">
        <f>J82/J29</f>
        <v>0.14248189521788482</v>
      </c>
      <c r="K83" s="63">
        <f>(L83-J83)*10000</f>
        <v>324.10027257298549</v>
      </c>
      <c r="L83" s="64">
        <f>L82/L29</f>
        <v>0.17489192247518337</v>
      </c>
      <c r="M83" s="64"/>
      <c r="N83" s="36">
        <f>N82/N29</f>
        <v>0.25416645688441608</v>
      </c>
      <c r="O83" s="63">
        <f>(P83-N83)*10000</f>
        <v>164.98929894009308</v>
      </c>
      <c r="P83" s="64">
        <f>P82/P29</f>
        <v>0.27066538677842539</v>
      </c>
      <c r="Q83" s="64"/>
      <c r="R83" s="36">
        <f>R82/R29</f>
        <v>0.32669531120315043</v>
      </c>
    </row>
    <row r="84" spans="1:19" s="11" customFormat="1" ht="11.25" hidden="1" customHeight="1" outlineLevel="2" thickTop="1" x14ac:dyDescent="0.2">
      <c r="A84" s="9"/>
      <c r="B84" s="10" t="s">
        <v>54</v>
      </c>
      <c r="C84" s="14"/>
      <c r="D84" s="14"/>
      <c r="E84" s="14"/>
      <c r="F84" s="14">
        <v>0</v>
      </c>
      <c r="G84" s="48">
        <v>0</v>
      </c>
      <c r="H84" s="49">
        <f>F84*(1+G84)</f>
        <v>0</v>
      </c>
      <c r="I84" s="50">
        <v>4</v>
      </c>
      <c r="J84" s="14">
        <f>H84+I84</f>
        <v>4</v>
      </c>
      <c r="K84" s="48">
        <v>0</v>
      </c>
      <c r="L84" s="49">
        <f>J84*(1+K84)</f>
        <v>4</v>
      </c>
      <c r="M84" s="50">
        <v>4</v>
      </c>
      <c r="N84" s="14">
        <f>L84+M84</f>
        <v>8</v>
      </c>
      <c r="O84" s="48">
        <v>0</v>
      </c>
      <c r="P84" s="49">
        <f>N84*(1+O84)</f>
        <v>8</v>
      </c>
      <c r="Q84" s="50">
        <v>4</v>
      </c>
      <c r="R84" s="14">
        <f>P84+Q84</f>
        <v>12</v>
      </c>
    </row>
    <row r="85" spans="1:19" s="7" customFormat="1" ht="12" outlineLevel="1" collapsed="1" thickTop="1" x14ac:dyDescent="0.2">
      <c r="A85" s="6"/>
      <c r="B85" s="15" t="s">
        <v>115</v>
      </c>
      <c r="C85" s="12">
        <v>580</v>
      </c>
      <c r="D85" s="12">
        <v>740</v>
      </c>
      <c r="E85" s="12">
        <f>SUM(E84:E84)</f>
        <v>0</v>
      </c>
      <c r="F85" s="12">
        <f>SUM(F84:F84)</f>
        <v>0</v>
      </c>
      <c r="G85" s="51">
        <f>IF(F85=0,0,(H85/F85)-1)</f>
        <v>0</v>
      </c>
      <c r="H85" s="52">
        <f>SUM(H84:H84)</f>
        <v>0</v>
      </c>
      <c r="I85" s="53">
        <f>SUM(I84)</f>
        <v>4</v>
      </c>
      <c r="J85" s="12">
        <f>SUM(J84:J84)</f>
        <v>4</v>
      </c>
      <c r="K85" s="51">
        <f>IF(J85=0,0,(L85/J85)-1)</f>
        <v>0</v>
      </c>
      <c r="L85" s="52">
        <f>SUM(L84:L84)</f>
        <v>4</v>
      </c>
      <c r="M85" s="53">
        <f>SUM(M84)</f>
        <v>4</v>
      </c>
      <c r="N85" s="12">
        <f>SUM(N84:N84)</f>
        <v>8</v>
      </c>
      <c r="O85" s="51">
        <f>IF(N85=0,0,(P85/N85)-1)</f>
        <v>0</v>
      </c>
      <c r="P85" s="52">
        <f>SUM(P84:P84)</f>
        <v>8</v>
      </c>
      <c r="Q85" s="53">
        <f>SUM(Q84)</f>
        <v>4</v>
      </c>
      <c r="R85" s="12">
        <f>SUM(R84:R84)</f>
        <v>12</v>
      </c>
      <c r="S85" s="7" t="s">
        <v>78</v>
      </c>
    </row>
    <row r="86" spans="1:19" s="11" customFormat="1" ht="11.25" hidden="1" customHeight="1" outlineLevel="2" x14ac:dyDescent="0.2">
      <c r="A86" s="9"/>
      <c r="B86" s="10" t="s">
        <v>57</v>
      </c>
      <c r="C86" s="14"/>
      <c r="D86" s="14"/>
      <c r="E86" s="14"/>
      <c r="F86" s="14">
        <v>0</v>
      </c>
      <c r="G86" s="48">
        <v>0</v>
      </c>
      <c r="H86" s="49">
        <f>F86*(1+G86)</f>
        <v>0</v>
      </c>
      <c r="I86" s="50">
        <v>4</v>
      </c>
      <c r="J86" s="14">
        <f>H86+I86</f>
        <v>4</v>
      </c>
      <c r="K86" s="48">
        <v>0</v>
      </c>
      <c r="L86" s="49">
        <f>J86*(1+K86)</f>
        <v>4</v>
      </c>
      <c r="M86" s="50">
        <v>4</v>
      </c>
      <c r="N86" s="14">
        <f>L86+M86</f>
        <v>8</v>
      </c>
      <c r="O86" s="48">
        <v>0</v>
      </c>
      <c r="P86" s="49">
        <f>N86*(1+O86)</f>
        <v>8</v>
      </c>
      <c r="Q86" s="50">
        <v>4</v>
      </c>
      <c r="R86" s="14">
        <f>P86+Q86</f>
        <v>12</v>
      </c>
    </row>
    <row r="87" spans="1:19" s="7" customFormat="1" outlineLevel="1" collapsed="1" x14ac:dyDescent="0.2">
      <c r="A87" s="6"/>
      <c r="B87" s="15" t="s">
        <v>116</v>
      </c>
      <c r="C87" s="12">
        <v>1225</v>
      </c>
      <c r="D87" s="12">
        <v>1177</v>
      </c>
      <c r="E87" s="12">
        <v>1718</v>
      </c>
      <c r="F87" s="12">
        <f>SUM(F86:F86)</f>
        <v>0</v>
      </c>
      <c r="G87" s="51">
        <f>IF(F87=0,0,(H87/F87)-1)</f>
        <v>0</v>
      </c>
      <c r="H87" s="52">
        <f>SUM(H86:H86)</f>
        <v>0</v>
      </c>
      <c r="I87" s="53">
        <f>SUM(I86)</f>
        <v>4</v>
      </c>
      <c r="J87" s="12">
        <f>SUM(J86:J86)</f>
        <v>4</v>
      </c>
      <c r="K87" s="51">
        <f>IF(J87=0,0,(L87/J87)-1)</f>
        <v>0</v>
      </c>
      <c r="L87" s="52">
        <f>SUM(L86:L86)</f>
        <v>4</v>
      </c>
      <c r="M87" s="53">
        <f>SUM(M86)</f>
        <v>4</v>
      </c>
      <c r="N87" s="12">
        <f>SUM(N86:N86)</f>
        <v>8</v>
      </c>
      <c r="O87" s="51">
        <f>IF(N87=0,0,(P87/N87)-1)</f>
        <v>0</v>
      </c>
      <c r="P87" s="52">
        <f>SUM(P86:P86)</f>
        <v>8</v>
      </c>
      <c r="Q87" s="53">
        <f>SUM(Q86)</f>
        <v>4</v>
      </c>
      <c r="R87" s="12">
        <f>SUM(R86:R86)</f>
        <v>12</v>
      </c>
      <c r="S87" s="7" t="s">
        <v>81</v>
      </c>
    </row>
    <row r="88" spans="1:19" s="19" customFormat="1" x14ac:dyDescent="0.2">
      <c r="A88" s="16"/>
      <c r="B88" s="17" t="s">
        <v>18</v>
      </c>
      <c r="C88" s="18">
        <f>C85-C87</f>
        <v>-645</v>
      </c>
      <c r="D88" s="18">
        <f>D85-D87</f>
        <v>-437</v>
      </c>
      <c r="E88" s="18">
        <f>E85-E87</f>
        <v>-1718</v>
      </c>
      <c r="F88" s="18">
        <f>F85-F87</f>
        <v>0</v>
      </c>
      <c r="G88" s="59">
        <f>IF(F88=0,0,(H88/F88)-1)</f>
        <v>0</v>
      </c>
      <c r="H88" s="60">
        <f>H85-H87</f>
        <v>0</v>
      </c>
      <c r="I88" s="60">
        <f>SUM(I85,I87)</f>
        <v>8</v>
      </c>
      <c r="J88" s="18">
        <f>J85-J87</f>
        <v>0</v>
      </c>
      <c r="K88" s="59">
        <f>IF(J88=0,0,(L88/J88)-1)</f>
        <v>0</v>
      </c>
      <c r="L88" s="60">
        <f>L85-L87</f>
        <v>0</v>
      </c>
      <c r="M88" s="60">
        <f>SUM(M85,M87)</f>
        <v>8</v>
      </c>
      <c r="N88" s="18">
        <f>N85-N87</f>
        <v>0</v>
      </c>
      <c r="O88" s="59">
        <f>IF(N88=0,0,(P88/N88)-1)</f>
        <v>0</v>
      </c>
      <c r="P88" s="60">
        <f>P85-P87</f>
        <v>0</v>
      </c>
      <c r="Q88" s="60">
        <f>SUM(Q85,Q87)</f>
        <v>8</v>
      </c>
      <c r="R88" s="18">
        <f>R85-R87</f>
        <v>0</v>
      </c>
    </row>
    <row r="89" spans="1:19" s="11" customFormat="1" ht="11.25" hidden="1" customHeight="1" outlineLevel="2" x14ac:dyDescent="0.2">
      <c r="A89" s="9"/>
      <c r="B89" s="10" t="s">
        <v>55</v>
      </c>
      <c r="C89" s="14"/>
      <c r="D89" s="14"/>
      <c r="E89" s="14"/>
      <c r="F89" s="14">
        <v>0</v>
      </c>
      <c r="G89" s="48">
        <v>0</v>
      </c>
      <c r="H89" s="49">
        <f>F89*(1+G89)</f>
        <v>0</v>
      </c>
      <c r="I89" s="50">
        <v>4</v>
      </c>
      <c r="J89" s="14">
        <f>H89+I89</f>
        <v>4</v>
      </c>
      <c r="K89" s="48">
        <v>0</v>
      </c>
      <c r="L89" s="49">
        <f>J89*(1+K89)</f>
        <v>4</v>
      </c>
      <c r="M89" s="50">
        <v>4</v>
      </c>
      <c r="N89" s="14">
        <f>L89+M89</f>
        <v>8</v>
      </c>
      <c r="O89" s="48">
        <v>0</v>
      </c>
      <c r="P89" s="49">
        <f>N89*(1+O89)</f>
        <v>8</v>
      </c>
      <c r="Q89" s="50">
        <v>4</v>
      </c>
      <c r="R89" s="14">
        <f>P89+Q89</f>
        <v>12</v>
      </c>
    </row>
    <row r="90" spans="1:19" s="7" customFormat="1" outlineLevel="1" collapsed="1" x14ac:dyDescent="0.2">
      <c r="A90" s="6"/>
      <c r="B90" s="15" t="s">
        <v>117</v>
      </c>
      <c r="C90" s="12">
        <f>SUM(C89:C89)</f>
        <v>0</v>
      </c>
      <c r="D90" s="12">
        <v>276</v>
      </c>
      <c r="E90" s="12">
        <f>SUM(E89:E89)</f>
        <v>0</v>
      </c>
      <c r="F90" s="12">
        <f>SUM(F89:F89)</f>
        <v>0</v>
      </c>
      <c r="G90" s="51">
        <f>IF(F90=0,0,(H90/F90)-1)</f>
        <v>0</v>
      </c>
      <c r="H90" s="52">
        <f>SUM(H89:H89)</f>
        <v>0</v>
      </c>
      <c r="I90" s="53">
        <f>SUM(I89)</f>
        <v>4</v>
      </c>
      <c r="J90" s="12">
        <f>SUM(J89:J89)</f>
        <v>4</v>
      </c>
      <c r="K90" s="51">
        <f>IF(J90=0,0,(L90/J90)-1)</f>
        <v>0</v>
      </c>
      <c r="L90" s="52">
        <f>SUM(L89:L89)</f>
        <v>4</v>
      </c>
      <c r="M90" s="53">
        <f>SUM(M89)</f>
        <v>4</v>
      </c>
      <c r="N90" s="12">
        <f>SUM(N89:N89)</f>
        <v>8</v>
      </c>
      <c r="O90" s="51">
        <f>IF(N90=0,0,(P90/N90)-1)</f>
        <v>0</v>
      </c>
      <c r="P90" s="52">
        <f>SUM(P89:P89)</f>
        <v>8</v>
      </c>
      <c r="Q90" s="53">
        <f>SUM(Q89)</f>
        <v>4</v>
      </c>
      <c r="R90" s="12">
        <f>SUM(R89:R89)</f>
        <v>12</v>
      </c>
      <c r="S90" s="7" t="s">
        <v>79</v>
      </c>
    </row>
    <row r="91" spans="1:19" s="11" customFormat="1" ht="11.25" hidden="1" customHeight="1" outlineLevel="2" x14ac:dyDescent="0.2">
      <c r="A91" s="9"/>
      <c r="B91" s="10" t="s">
        <v>56</v>
      </c>
      <c r="C91" s="14"/>
      <c r="D91" s="14"/>
      <c r="E91" s="14"/>
      <c r="F91" s="14">
        <v>0</v>
      </c>
      <c r="G91" s="48">
        <v>0</v>
      </c>
      <c r="H91" s="49">
        <f>F91*(1+G91)</f>
        <v>0</v>
      </c>
      <c r="I91" s="50">
        <v>4</v>
      </c>
      <c r="J91" s="14">
        <f>H91+I91</f>
        <v>4</v>
      </c>
      <c r="K91" s="48">
        <v>0</v>
      </c>
      <c r="L91" s="49">
        <f>J91*(1+K91)</f>
        <v>4</v>
      </c>
      <c r="M91" s="50">
        <v>4</v>
      </c>
      <c r="N91" s="14">
        <f>L91+M91</f>
        <v>8</v>
      </c>
      <c r="O91" s="48">
        <v>0</v>
      </c>
      <c r="P91" s="49">
        <f>N91*(1+O91)</f>
        <v>8</v>
      </c>
      <c r="Q91" s="50">
        <v>4</v>
      </c>
      <c r="R91" s="14">
        <f>P91+Q91</f>
        <v>12</v>
      </c>
    </row>
    <row r="92" spans="1:19" s="7" customFormat="1" outlineLevel="1" collapsed="1" x14ac:dyDescent="0.2">
      <c r="A92" s="6"/>
      <c r="B92" s="15" t="s">
        <v>118</v>
      </c>
      <c r="C92" s="12">
        <f>SUM(C91:C91)</f>
        <v>0</v>
      </c>
      <c r="D92" s="12">
        <f>SUM(D91:D91)</f>
        <v>0</v>
      </c>
      <c r="E92" s="12">
        <f>SUM(E91:E91)</f>
        <v>0</v>
      </c>
      <c r="F92" s="12">
        <f>SUM(F91:F91)</f>
        <v>0</v>
      </c>
      <c r="G92" s="51">
        <f>IF(F92=0,0,(H92/F92)-1)</f>
        <v>0</v>
      </c>
      <c r="H92" s="52">
        <f>SUM(H91:H91)</f>
        <v>0</v>
      </c>
      <c r="I92" s="53">
        <f>SUM(I91)</f>
        <v>4</v>
      </c>
      <c r="J92" s="12">
        <f>SUM(J91:J91)</f>
        <v>4</v>
      </c>
      <c r="K92" s="51">
        <f>IF(J92=0,0,(L92/J92)-1)</f>
        <v>0</v>
      </c>
      <c r="L92" s="52">
        <f>SUM(L91:L91)</f>
        <v>4</v>
      </c>
      <c r="M92" s="53">
        <f>SUM(M91)</f>
        <v>4</v>
      </c>
      <c r="N92" s="12">
        <f>SUM(N91:N91)</f>
        <v>8</v>
      </c>
      <c r="O92" s="51">
        <f>IF(N92=0,0,(P92/N92)-1)</f>
        <v>0</v>
      </c>
      <c r="P92" s="52">
        <f>SUM(P91:P91)</f>
        <v>8</v>
      </c>
      <c r="Q92" s="53">
        <f>SUM(Q91)</f>
        <v>4</v>
      </c>
      <c r="R92" s="12">
        <f>SUM(R91:R91)</f>
        <v>12</v>
      </c>
      <c r="S92" s="7" t="s">
        <v>80</v>
      </c>
    </row>
    <row r="93" spans="1:19" s="19" customFormat="1" x14ac:dyDescent="0.2">
      <c r="A93" s="16"/>
      <c r="B93" s="17" t="s">
        <v>19</v>
      </c>
      <c r="C93" s="18">
        <f>C90-C92</f>
        <v>0</v>
      </c>
      <c r="D93" s="18">
        <f>D90-D92</f>
        <v>276</v>
      </c>
      <c r="E93" s="18">
        <f>E90-E92</f>
        <v>0</v>
      </c>
      <c r="F93" s="18">
        <f>F90-F92</f>
        <v>0</v>
      </c>
      <c r="G93" s="59">
        <f>IF(F93=0,0,(H93/F93)-1)</f>
        <v>0</v>
      </c>
      <c r="H93" s="60">
        <f>H90-H92</f>
        <v>0</v>
      </c>
      <c r="I93" s="60">
        <f>SUM(I92,I90)</f>
        <v>8</v>
      </c>
      <c r="J93" s="18">
        <f>J90-J92</f>
        <v>0</v>
      </c>
      <c r="K93" s="59">
        <f>IF(J93=0,0,(L93/J93)-1)</f>
        <v>0</v>
      </c>
      <c r="L93" s="60">
        <f>L90-L92</f>
        <v>0</v>
      </c>
      <c r="M93" s="60">
        <f>SUM(M92,M90)</f>
        <v>8</v>
      </c>
      <c r="N93" s="18">
        <f>N90-N92</f>
        <v>0</v>
      </c>
      <c r="O93" s="59">
        <f>IF(N93=0,0,(P93/N93)-1)</f>
        <v>0</v>
      </c>
      <c r="P93" s="60">
        <f>P90-P92</f>
        <v>0</v>
      </c>
      <c r="Q93" s="60">
        <f>SUM(Q92,Q90)</f>
        <v>8</v>
      </c>
      <c r="R93" s="18">
        <f>R90-R92</f>
        <v>0</v>
      </c>
    </row>
    <row r="94" spans="1:19" s="33" customFormat="1" ht="12" x14ac:dyDescent="0.2">
      <c r="A94" s="22"/>
      <c r="B94" s="22" t="s">
        <v>21</v>
      </c>
      <c r="C94" s="32">
        <f>C82-C88-C93</f>
        <v>12855.560000000027</v>
      </c>
      <c r="D94" s="32">
        <f>D82-D88-D93</f>
        <v>-22623.900000000023</v>
      </c>
      <c r="E94" s="32">
        <f>E82-E88-E93</f>
        <v>-43787.669999999984</v>
      </c>
      <c r="F94" s="32">
        <f>F82-F88-F93</f>
        <v>-51680.25</v>
      </c>
      <c r="G94" s="61">
        <f>H94/F94-1</f>
        <v>-0.28690998979300597</v>
      </c>
      <c r="H94" s="62">
        <f>H82-H88-H93</f>
        <v>-36852.670000000006</v>
      </c>
      <c r="I94" s="62"/>
      <c r="J94" s="32">
        <f>J82-J88-J93</f>
        <v>59488.185999999965</v>
      </c>
      <c r="K94" s="61">
        <f>L94/J94-1</f>
        <v>0.30787515020209266</v>
      </c>
      <c r="L94" s="62">
        <f>L82-L88-L93</f>
        <v>77803.120199999976</v>
      </c>
      <c r="M94" s="62"/>
      <c r="N94" s="32">
        <f>N82-N88-N93</f>
        <v>127287.83244</v>
      </c>
      <c r="O94" s="61">
        <f>P94/N94-1</f>
        <v>0.1390669080200102</v>
      </c>
      <c r="P94" s="62">
        <f>P82-P88-P93</f>
        <v>144989.35772599996</v>
      </c>
      <c r="Q94" s="62"/>
      <c r="R94" s="32">
        <f>R82-R88-R93</f>
        <v>194927.57618519996</v>
      </c>
    </row>
    <row r="95" spans="1:19" s="37" customFormat="1" ht="12" thickBot="1" x14ac:dyDescent="0.25">
      <c r="A95" s="34"/>
      <c r="B95" s="35" t="s">
        <v>27</v>
      </c>
      <c r="C95" s="36">
        <f>C94/C29</f>
        <v>3.4145580265644036E-2</v>
      </c>
      <c r="D95" s="36">
        <f>D94/D29</f>
        <v>-6.6720871716288835E-2</v>
      </c>
      <c r="E95" s="36">
        <f>E94/E29</f>
        <v>-0.11748503186806844</v>
      </c>
      <c r="F95" s="36">
        <f>F94/F29</f>
        <v>-0.18566042412855341</v>
      </c>
      <c r="G95" s="63">
        <f>(H95-F95)*10000</f>
        <v>573.25007164432475</v>
      </c>
      <c r="H95" s="64">
        <f>H94/H29</f>
        <v>-0.12833541696412093</v>
      </c>
      <c r="I95" s="64"/>
      <c r="J95" s="36">
        <f>J94/J29</f>
        <v>0.14248189521788482</v>
      </c>
      <c r="K95" s="63">
        <f>(L95-J95)*10000</f>
        <v>324.10027257298549</v>
      </c>
      <c r="L95" s="64">
        <f>L94/L29</f>
        <v>0.17489192247518337</v>
      </c>
      <c r="M95" s="64"/>
      <c r="N95" s="36">
        <f>N94/N29</f>
        <v>0.25416645688441608</v>
      </c>
      <c r="O95" s="63">
        <f>(P95-N95)*10000</f>
        <v>164.98929894009308</v>
      </c>
      <c r="P95" s="64">
        <f>P94/P29</f>
        <v>0.27066538677842539</v>
      </c>
      <c r="Q95" s="64"/>
      <c r="R95" s="36">
        <f>R94/R29</f>
        <v>0.32669531120315043</v>
      </c>
    </row>
    <row r="96" spans="1:19" ht="12" thickTop="1" x14ac:dyDescent="0.2">
      <c r="C96" s="13"/>
      <c r="D96" s="13"/>
      <c r="E96" s="13"/>
      <c r="F96" s="13"/>
      <c r="H96" s="68"/>
      <c r="I96" s="69"/>
      <c r="J96" s="13"/>
      <c r="L96" s="68"/>
      <c r="M96" s="69"/>
      <c r="N96" s="13"/>
      <c r="P96" s="68"/>
      <c r="Q96" s="69"/>
      <c r="R96" s="13"/>
    </row>
    <row r="97" spans="1:18" x14ac:dyDescent="0.2">
      <c r="C97" s="13"/>
      <c r="D97" s="13"/>
      <c r="E97" s="13"/>
      <c r="F97" s="13"/>
      <c r="H97" s="68"/>
      <c r="I97" s="69"/>
      <c r="J97" s="13"/>
      <c r="L97" s="68"/>
      <c r="M97" s="69"/>
      <c r="N97" s="13"/>
      <c r="P97" s="68"/>
      <c r="Q97" s="69"/>
      <c r="R97" s="13"/>
    </row>
    <row r="98" spans="1:18" x14ac:dyDescent="0.2">
      <c r="C98" s="13"/>
      <c r="D98" s="13"/>
      <c r="E98" s="13"/>
      <c r="F98" s="13"/>
      <c r="H98" s="68"/>
      <c r="I98" s="69"/>
      <c r="J98" s="13"/>
      <c r="L98" s="68"/>
      <c r="M98" s="69"/>
      <c r="N98" s="13"/>
      <c r="P98" s="68"/>
      <c r="Q98" s="69"/>
      <c r="R98" s="13"/>
    </row>
    <row r="99" spans="1:18" x14ac:dyDescent="0.2">
      <c r="B99" s="7"/>
      <c r="C99" s="13"/>
      <c r="D99" s="13"/>
      <c r="E99" s="13"/>
      <c r="F99" s="13"/>
      <c r="H99" s="68"/>
      <c r="I99" s="69"/>
      <c r="J99" s="13"/>
      <c r="L99" s="68"/>
      <c r="M99" s="69"/>
      <c r="N99" s="13"/>
      <c r="P99" s="68"/>
      <c r="Q99" s="69"/>
      <c r="R99" s="13"/>
    </row>
    <row r="100" spans="1:18" s="13" customFormat="1" x14ac:dyDescent="0.2">
      <c r="A100" s="8"/>
      <c r="B100" s="8"/>
      <c r="G100" s="67"/>
      <c r="H100" s="68"/>
      <c r="I100" s="69"/>
      <c r="K100" s="67"/>
      <c r="L100" s="68"/>
      <c r="M100" s="69"/>
      <c r="O100" s="67"/>
      <c r="P100" s="68"/>
      <c r="Q100" s="69"/>
    </row>
  </sheetData>
  <sheetProtection selectLockedCells="1"/>
  <mergeCells count="1">
    <mergeCell ref="C1:S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 alignWithMargins="0">
    <oddHeader>&amp;A</oddHeader>
    <oddFooter>&amp;L&amp;BALLIAGE SAS Confidentiel&amp;B&amp;C&amp;D&amp;RPage &amp;P</oddFooter>
  </headerFooter>
  <ignoredErrors>
    <ignoredError sqref="J43 G48 G22 J33 G38 G29:G33 G46:H46 J46 I39:J39 I26:J26 I22 I30:J32 G26:H27 G49:H50 G55:H55 G68:J68 G63:H63 J63 G69:H70 G77:H78 G79:I79 G80:H80 J79:J80 G81:J84 G95:J95 G94:H94 J85:J94 G85:I93 J77:R77 K74:M76 O74:Q76 K30:R33 K34:M35 O34:Q35 K68:R69 R41:R42 K79:R95 K78:L78 N78:P78 R78 J18 K16:R16 J49:R50 G64:J64 I29 K29:M29 O29:Q29 K36:R36 H29:H36 H38:H43 J38:R38 K43:R46 K48 M48 O48 K26:R27 L23 P23 N23 R23 K21:R22 L17:N17 P17:R17 J55:R55 H51:J54 L51:N54 P51:R54 H56:J62 K63:R64 L56:N62 P56:R62 J69:J70 K71:R73 L70:N70 P70:R70 L39:N40 L41:L42 P39:R40 N41:N42 P41:P42 H21:H22 H18:H19 K18:R19" formula="1"/>
    <ignoredError sqref="F16 I16" formulaRange="1"/>
    <ignoredError sqref="J16 G16:H16 I38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showGridLines="0" view="pageBreakPreview" zoomScaleNormal="100" zoomScaleSheetLayoutView="100" workbookViewId="0">
      <selection activeCell="E9" sqref="E9"/>
    </sheetView>
  </sheetViews>
  <sheetFormatPr baseColWidth="10" defaultRowHeight="15" x14ac:dyDescent="0.25"/>
  <cols>
    <col min="1" max="1" width="2.85546875" customWidth="1"/>
    <col min="2" max="2" width="13.5703125" customWidth="1"/>
    <col min="3" max="7" width="22.140625" style="75" customWidth="1"/>
    <col min="8" max="9" width="7" style="75" customWidth="1"/>
    <col min="10" max="11" width="20.42578125" customWidth="1"/>
    <col min="12" max="12" width="19.85546875" customWidth="1"/>
    <col min="13" max="14" width="20.42578125" customWidth="1"/>
    <col min="15" max="15" width="19.85546875" customWidth="1"/>
    <col min="16" max="17" width="20.42578125" customWidth="1"/>
    <col min="18" max="18" width="19.85546875" customWidth="1"/>
    <col min="19" max="20" width="20.42578125" customWidth="1"/>
    <col min="21" max="21" width="19.85546875" customWidth="1"/>
    <col min="22" max="23" width="20.42578125" customWidth="1"/>
    <col min="24" max="24" width="19.85546875" customWidth="1"/>
    <col min="25" max="26" width="20.42578125" customWidth="1"/>
    <col min="27" max="27" width="19.85546875" customWidth="1"/>
    <col min="28" max="29" width="20.42578125" customWidth="1"/>
    <col min="30" max="30" width="19.85546875" customWidth="1"/>
    <col min="31" max="32" width="20.42578125" customWidth="1"/>
    <col min="33" max="33" width="19.85546875" customWidth="1"/>
    <col min="34" max="35" width="20.42578125" customWidth="1"/>
    <col min="36" max="36" width="19.85546875" customWidth="1"/>
    <col min="37" max="38" width="20.42578125" customWidth="1"/>
    <col min="39" max="39" width="19.85546875" customWidth="1"/>
    <col min="40" max="41" width="20.42578125" customWidth="1"/>
    <col min="42" max="42" width="19.85546875" customWidth="1"/>
    <col min="43" max="44" width="20.42578125" customWidth="1"/>
    <col min="45" max="45" width="19.85546875" customWidth="1"/>
    <col min="46" max="47" width="20.42578125" customWidth="1"/>
    <col min="48" max="48" width="19.85546875" customWidth="1"/>
    <col min="49" max="50" width="20.42578125" customWidth="1"/>
    <col min="51" max="51" width="19.85546875" customWidth="1"/>
    <col min="52" max="53" width="20.42578125" customWidth="1"/>
    <col min="54" max="54" width="19.85546875" customWidth="1"/>
    <col min="55" max="56" width="20.42578125" customWidth="1"/>
    <col min="57" max="57" width="19.85546875" customWidth="1"/>
    <col min="58" max="59" width="20.42578125" customWidth="1"/>
    <col min="60" max="60" width="19.85546875" customWidth="1"/>
    <col min="61" max="62" width="20.42578125" customWidth="1"/>
    <col min="63" max="63" width="19.85546875" customWidth="1"/>
    <col min="64" max="65" width="20.42578125" customWidth="1"/>
    <col min="66" max="66" width="19.85546875" customWidth="1"/>
    <col min="67" max="68" width="20.42578125" customWidth="1"/>
    <col min="69" max="69" width="19.85546875" customWidth="1"/>
    <col min="70" max="71" width="20.42578125" customWidth="1"/>
    <col min="72" max="72" width="19.85546875" customWidth="1"/>
    <col min="73" max="74" width="20.42578125" customWidth="1"/>
    <col min="75" max="75" width="19.85546875" customWidth="1"/>
    <col min="76" max="77" width="20.42578125" customWidth="1"/>
    <col min="78" max="78" width="19.85546875" customWidth="1"/>
    <col min="79" max="80" width="20.42578125" customWidth="1"/>
    <col min="81" max="81" width="19.85546875" customWidth="1"/>
    <col min="82" max="83" width="20.42578125" customWidth="1"/>
    <col min="84" max="84" width="24.85546875" customWidth="1"/>
    <col min="85" max="86" width="25.42578125" customWidth="1"/>
    <col min="87" max="87" width="26.5703125" customWidth="1"/>
    <col min="88" max="88" width="27.140625" customWidth="1"/>
    <col min="89" max="89" width="19.85546875" customWidth="1"/>
    <col min="90" max="90" width="20.42578125" bestFit="1" customWidth="1"/>
    <col min="91" max="91" width="26.5703125" customWidth="1"/>
    <col min="92" max="92" width="27.140625" customWidth="1"/>
    <col min="93" max="93" width="19.85546875" bestFit="1" customWidth="1"/>
    <col min="94" max="94" width="20.42578125" bestFit="1" customWidth="1"/>
    <col min="95" max="95" width="29.140625" bestFit="1" customWidth="1"/>
    <col min="96" max="96" width="29.7109375" customWidth="1"/>
    <col min="97" max="97" width="19.85546875" bestFit="1" customWidth="1"/>
    <col min="98" max="98" width="20.42578125" customWidth="1"/>
    <col min="99" max="99" width="29.140625" bestFit="1" customWidth="1"/>
    <col min="100" max="100" width="29.7109375" customWidth="1"/>
    <col min="101" max="101" width="19.85546875" bestFit="1" customWidth="1"/>
    <col min="102" max="102" width="20.42578125" customWidth="1"/>
    <col min="103" max="103" width="29.140625" bestFit="1" customWidth="1"/>
    <col min="104" max="104" width="29.7109375" customWidth="1"/>
    <col min="105" max="105" width="19.85546875" bestFit="1" customWidth="1"/>
    <col min="106" max="106" width="20.42578125" customWidth="1"/>
    <col min="107" max="107" width="29.140625" bestFit="1" customWidth="1"/>
    <col min="108" max="108" width="29.7109375" customWidth="1"/>
    <col min="109" max="109" width="19.85546875" bestFit="1" customWidth="1"/>
    <col min="110" max="110" width="20.42578125" bestFit="1" customWidth="1"/>
    <col min="111" max="111" width="29.140625" bestFit="1" customWidth="1"/>
    <col min="112" max="112" width="29.7109375" customWidth="1"/>
    <col min="113" max="113" width="19.85546875" bestFit="1" customWidth="1"/>
    <col min="114" max="114" width="20.42578125" customWidth="1"/>
    <col min="115" max="115" width="25.7109375" customWidth="1"/>
    <col min="116" max="116" width="26.42578125" customWidth="1"/>
    <col min="117" max="117" width="24.85546875" customWidth="1"/>
    <col min="118" max="118" width="25.42578125" customWidth="1"/>
    <col min="119" max="119" width="4" customWidth="1"/>
    <col min="120" max="120" width="6" customWidth="1"/>
    <col min="121" max="123" width="4" customWidth="1"/>
    <col min="124" max="136" width="5" customWidth="1"/>
    <col min="137" max="147" width="6" customWidth="1"/>
    <col min="148" max="148" width="9" customWidth="1"/>
    <col min="149" max="149" width="6" customWidth="1"/>
    <col min="150" max="150" width="7" customWidth="1"/>
    <col min="151" max="153" width="11.140625" customWidth="1"/>
    <col min="154" max="154" width="12.5703125" bestFit="1" customWidth="1"/>
  </cols>
  <sheetData>
    <row r="2" spans="2:9" x14ac:dyDescent="0.25">
      <c r="B2" s="77" t="s">
        <v>123</v>
      </c>
      <c r="C2" s="78"/>
      <c r="D2" s="78"/>
      <c r="E2" s="78"/>
      <c r="F2" s="78"/>
      <c r="G2" s="78"/>
      <c r="H2" s="78"/>
      <c r="I2"/>
    </row>
    <row r="4" spans="2:9" x14ac:dyDescent="0.25">
      <c r="C4" s="74" t="s">
        <v>90</v>
      </c>
      <c r="D4"/>
      <c r="E4"/>
      <c r="F4"/>
      <c r="G4"/>
      <c r="H4"/>
      <c r="I4"/>
    </row>
    <row r="5" spans="2:9" s="81" customFormat="1" ht="30" x14ac:dyDescent="0.25">
      <c r="B5" s="82" t="s">
        <v>122</v>
      </c>
      <c r="C5" s="83" t="s">
        <v>23</v>
      </c>
      <c r="D5" s="83" t="s">
        <v>22</v>
      </c>
      <c r="E5" s="83" t="s">
        <v>21</v>
      </c>
      <c r="F5" s="83" t="s">
        <v>91</v>
      </c>
      <c r="G5"/>
      <c r="H5"/>
    </row>
    <row r="6" spans="2:9" x14ac:dyDescent="0.25">
      <c r="B6" s="75" t="s">
        <v>93</v>
      </c>
      <c r="C6" s="76">
        <v>376492.65</v>
      </c>
      <c r="D6" s="76">
        <v>127036.56000000003</v>
      </c>
      <c r="E6" s="76">
        <v>12855.560000000027</v>
      </c>
      <c r="F6" s="76">
        <v>516384.77000000014</v>
      </c>
      <c r="G6"/>
      <c r="H6"/>
      <c r="I6"/>
    </row>
    <row r="7" spans="2:9" x14ac:dyDescent="0.25">
      <c r="B7" s="75" t="s">
        <v>92</v>
      </c>
      <c r="C7" s="76">
        <v>339082.8</v>
      </c>
      <c r="D7" s="76">
        <v>78972.099999999977</v>
      </c>
      <c r="E7" s="76">
        <v>-22623.900000000023</v>
      </c>
      <c r="F7" s="76">
        <v>395430.99999999994</v>
      </c>
      <c r="G7"/>
      <c r="H7"/>
      <c r="I7"/>
    </row>
    <row r="8" spans="2:9" x14ac:dyDescent="0.25">
      <c r="B8" s="75" t="s">
        <v>94</v>
      </c>
      <c r="C8" s="76">
        <v>372708.5</v>
      </c>
      <c r="D8" s="76">
        <v>80137.330000000016</v>
      </c>
      <c r="E8" s="76">
        <v>-43787.669999999984</v>
      </c>
      <c r="F8" s="76">
        <v>409058.16000000003</v>
      </c>
      <c r="G8"/>
      <c r="H8"/>
      <c r="I8"/>
    </row>
    <row r="9" spans="2:9" x14ac:dyDescent="0.25">
      <c r="B9" s="75" t="s">
        <v>95</v>
      </c>
      <c r="C9" s="76">
        <v>376144</v>
      </c>
      <c r="D9" s="76">
        <v>106604.65000000002</v>
      </c>
      <c r="E9" s="76">
        <v>-48.849999999976717</v>
      </c>
      <c r="F9" s="76">
        <v>482699.80000000005</v>
      </c>
      <c r="G9"/>
      <c r="H9"/>
      <c r="I9"/>
    </row>
    <row r="10" spans="2:9" x14ac:dyDescent="0.25">
      <c r="B10" s="75" t="s">
        <v>96</v>
      </c>
      <c r="C10" s="76">
        <v>502314</v>
      </c>
      <c r="D10" s="76">
        <v>188744.58599999995</v>
      </c>
      <c r="E10" s="76">
        <v>135337.98599999995</v>
      </c>
      <c r="F10" s="76">
        <v>826396.57199999981</v>
      </c>
      <c r="G10"/>
      <c r="H10"/>
    </row>
    <row r="11" spans="2:9" x14ac:dyDescent="0.25">
      <c r="B11" s="75" t="s">
        <v>97</v>
      </c>
      <c r="C11" s="76">
        <v>596495</v>
      </c>
      <c r="D11" s="76">
        <v>268470.31543999998</v>
      </c>
      <c r="E11" s="76">
        <v>213392.62243999998</v>
      </c>
      <c r="F11" s="76">
        <v>1078357.9378800001</v>
      </c>
      <c r="G11"/>
      <c r="H11"/>
    </row>
    <row r="12" spans="2:9" x14ac:dyDescent="0.25">
      <c r="B12" s="75" t="s">
        <v>98</v>
      </c>
      <c r="C12" s="76">
        <v>704714.25</v>
      </c>
      <c r="D12" s="76">
        <v>349513.41997519997</v>
      </c>
      <c r="E12" s="76">
        <v>292668.85568519996</v>
      </c>
      <c r="F12" s="76">
        <v>1346896.5256603998</v>
      </c>
      <c r="G12"/>
      <c r="H12"/>
    </row>
    <row r="30" spans="1:9" x14ac:dyDescent="0.25">
      <c r="B30" s="74" t="s">
        <v>88</v>
      </c>
      <c r="C30" t="s">
        <v>21</v>
      </c>
    </row>
    <row r="31" spans="1:9" x14ac:dyDescent="0.25">
      <c r="A31" s="75"/>
      <c r="B31" s="75"/>
      <c r="F31"/>
      <c r="G31"/>
      <c r="H31"/>
      <c r="I31"/>
    </row>
    <row r="32" spans="1:9" x14ac:dyDescent="0.25">
      <c r="B32" s="74" t="s">
        <v>122</v>
      </c>
      <c r="C32"/>
      <c r="D32"/>
      <c r="E32"/>
      <c r="F32"/>
      <c r="G32"/>
      <c r="H32"/>
      <c r="I32"/>
    </row>
    <row r="33" spans="2:9" x14ac:dyDescent="0.25">
      <c r="B33" s="75" t="s">
        <v>93</v>
      </c>
      <c r="C33" s="76">
        <v>12855.560000000027</v>
      </c>
      <c r="D33"/>
      <c r="E33"/>
      <c r="F33"/>
      <c r="G33"/>
      <c r="H33"/>
      <c r="I33"/>
    </row>
    <row r="34" spans="2:9" x14ac:dyDescent="0.25">
      <c r="B34" s="75" t="s">
        <v>92</v>
      </c>
      <c r="C34" s="76">
        <v>-22623.900000000023</v>
      </c>
      <c r="D34"/>
      <c r="E34"/>
      <c r="F34"/>
      <c r="G34"/>
      <c r="H34"/>
      <c r="I34"/>
    </row>
    <row r="35" spans="2:9" x14ac:dyDescent="0.25">
      <c r="B35" s="75" t="s">
        <v>94</v>
      </c>
      <c r="C35" s="76">
        <v>-43787.669999999984</v>
      </c>
      <c r="D35"/>
      <c r="E35"/>
      <c r="F35"/>
      <c r="G35"/>
      <c r="H35"/>
      <c r="I35"/>
    </row>
    <row r="36" spans="2:9" x14ac:dyDescent="0.25">
      <c r="B36" s="75" t="s">
        <v>95</v>
      </c>
      <c r="C36" s="76">
        <v>-48.849999999976717</v>
      </c>
      <c r="D36"/>
      <c r="E36"/>
      <c r="F36"/>
      <c r="G36"/>
      <c r="H36"/>
      <c r="I36"/>
    </row>
    <row r="37" spans="2:9" x14ac:dyDescent="0.25">
      <c r="B37" s="75" t="s">
        <v>96</v>
      </c>
      <c r="C37" s="76">
        <v>135337.98599999995</v>
      </c>
      <c r="D37"/>
      <c r="E37"/>
      <c r="F37"/>
      <c r="G37"/>
      <c r="H37"/>
      <c r="I37"/>
    </row>
    <row r="38" spans="2:9" x14ac:dyDescent="0.25">
      <c r="B38" s="75" t="s">
        <v>97</v>
      </c>
      <c r="C38" s="76">
        <v>213392.62243999998</v>
      </c>
      <c r="D38"/>
      <c r="E38"/>
      <c r="F38"/>
      <c r="G38"/>
    </row>
    <row r="39" spans="2:9" x14ac:dyDescent="0.25">
      <c r="B39" s="75" t="s">
        <v>98</v>
      </c>
      <c r="C39" s="76">
        <v>292668.85568519996</v>
      </c>
      <c r="D39"/>
      <c r="E39"/>
      <c r="F39"/>
      <c r="G39"/>
    </row>
    <row r="40" spans="2:9" x14ac:dyDescent="0.25">
      <c r="C40"/>
      <c r="D40"/>
      <c r="E40"/>
      <c r="F40"/>
      <c r="G40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0" orientation="portrait" r:id="rId3"/>
  <headerFooter>
    <oddHeader>&amp;C&amp;8&amp;F&amp;R&amp;8Confidentiel</oddHeader>
    <oddFooter>&amp;L&amp;8&amp;D&amp;C&amp;8&amp;A&amp;R&amp;8&amp;F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showGridLines="0" view="pageBreakPreview" topLeftCell="A19" zoomScaleNormal="100" zoomScaleSheetLayoutView="100" workbookViewId="0">
      <selection activeCell="E29" sqref="E29"/>
    </sheetView>
  </sheetViews>
  <sheetFormatPr baseColWidth="10" defaultRowHeight="15" x14ac:dyDescent="0.25"/>
  <cols>
    <col min="1" max="1" width="2.85546875" customWidth="1"/>
    <col min="2" max="2" width="9.140625" customWidth="1"/>
    <col min="3" max="6" width="27" style="75" customWidth="1"/>
    <col min="7" max="7" width="12.5703125" style="75" customWidth="1"/>
    <col min="8" max="9" width="9.140625" style="75" customWidth="1"/>
    <col min="10" max="11" width="20.42578125" customWidth="1"/>
    <col min="12" max="12" width="19.85546875" customWidth="1"/>
    <col min="13" max="14" width="20.42578125" customWidth="1"/>
    <col min="15" max="15" width="19.85546875" customWidth="1"/>
    <col min="16" max="17" width="20.42578125" customWidth="1"/>
    <col min="18" max="18" width="19.85546875" customWidth="1"/>
    <col min="19" max="20" width="20.42578125" customWidth="1"/>
    <col min="21" max="21" width="19.85546875" customWidth="1"/>
    <col min="22" max="23" width="20.42578125" customWidth="1"/>
    <col min="24" max="24" width="19.85546875" customWidth="1"/>
    <col min="25" max="26" width="20.42578125" customWidth="1"/>
    <col min="27" max="27" width="19.85546875" customWidth="1"/>
    <col min="28" max="29" width="20.42578125" customWidth="1"/>
    <col min="30" max="30" width="19.85546875" customWidth="1"/>
    <col min="31" max="32" width="20.42578125" customWidth="1"/>
    <col min="33" max="33" width="19.85546875" customWidth="1"/>
    <col min="34" max="35" width="20.42578125" customWidth="1"/>
    <col min="36" max="36" width="19.85546875" customWidth="1"/>
    <col min="37" max="38" width="20.42578125" customWidth="1"/>
    <col min="39" max="39" width="19.85546875" customWidth="1"/>
    <col min="40" max="41" width="20.42578125" customWidth="1"/>
    <col min="42" max="42" width="19.85546875" customWidth="1"/>
    <col min="43" max="44" width="20.42578125" customWidth="1"/>
    <col min="45" max="45" width="19.85546875" customWidth="1"/>
    <col min="46" max="47" width="20.42578125" customWidth="1"/>
    <col min="48" max="48" width="19.85546875" customWidth="1"/>
    <col min="49" max="50" width="20.42578125" customWidth="1"/>
    <col min="51" max="51" width="19.85546875" customWidth="1"/>
    <col min="52" max="53" width="20.42578125" customWidth="1"/>
    <col min="54" max="54" width="19.85546875" customWidth="1"/>
    <col min="55" max="56" width="20.42578125" customWidth="1"/>
    <col min="57" max="57" width="19.85546875" customWidth="1"/>
    <col min="58" max="59" width="20.42578125" customWidth="1"/>
    <col min="60" max="60" width="19.85546875" customWidth="1"/>
    <col min="61" max="62" width="20.42578125" customWidth="1"/>
    <col min="63" max="63" width="19.85546875" customWidth="1"/>
    <col min="64" max="65" width="20.42578125" customWidth="1"/>
    <col min="66" max="66" width="19.85546875" customWidth="1"/>
    <col min="67" max="68" width="20.42578125" customWidth="1"/>
    <col min="69" max="69" width="19.85546875" customWidth="1"/>
    <col min="70" max="71" width="20.42578125" customWidth="1"/>
    <col min="72" max="72" width="19.85546875" customWidth="1"/>
    <col min="73" max="74" width="20.42578125" customWidth="1"/>
    <col min="75" max="75" width="19.85546875" customWidth="1"/>
    <col min="76" max="77" width="20.42578125" customWidth="1"/>
    <col min="78" max="78" width="19.85546875" customWidth="1"/>
    <col min="79" max="80" width="20.42578125" customWidth="1"/>
    <col min="81" max="81" width="19.85546875" customWidth="1"/>
    <col min="82" max="83" width="20.42578125" customWidth="1"/>
    <col min="84" max="84" width="24.85546875" customWidth="1"/>
    <col min="85" max="86" width="25.42578125" customWidth="1"/>
    <col min="87" max="87" width="26.5703125" customWidth="1"/>
    <col min="88" max="88" width="27.140625" customWidth="1"/>
    <col min="89" max="89" width="19.85546875" customWidth="1"/>
    <col min="90" max="90" width="20.42578125" bestFit="1" customWidth="1"/>
    <col min="91" max="91" width="26.5703125" customWidth="1"/>
    <col min="92" max="92" width="27.140625" customWidth="1"/>
    <col min="93" max="93" width="19.85546875" bestFit="1" customWidth="1"/>
    <col min="94" max="94" width="20.42578125" bestFit="1" customWidth="1"/>
    <col min="95" max="95" width="29.140625" bestFit="1" customWidth="1"/>
    <col min="96" max="96" width="29.7109375" customWidth="1"/>
    <col min="97" max="97" width="19.85546875" bestFit="1" customWidth="1"/>
    <col min="98" max="98" width="20.42578125" customWidth="1"/>
    <col min="99" max="99" width="29.140625" bestFit="1" customWidth="1"/>
    <col min="100" max="100" width="29.7109375" customWidth="1"/>
    <col min="101" max="101" width="19.85546875" bestFit="1" customWidth="1"/>
    <col min="102" max="102" width="20.42578125" customWidth="1"/>
    <col min="103" max="103" width="29.140625" bestFit="1" customWidth="1"/>
    <col min="104" max="104" width="29.7109375" customWidth="1"/>
    <col min="105" max="105" width="19.85546875" bestFit="1" customWidth="1"/>
    <col min="106" max="106" width="20.42578125" customWidth="1"/>
    <col min="107" max="107" width="29.140625" bestFit="1" customWidth="1"/>
    <col min="108" max="108" width="29.7109375" customWidth="1"/>
    <col min="109" max="109" width="19.85546875" bestFit="1" customWidth="1"/>
    <col min="110" max="110" width="20.42578125" bestFit="1" customWidth="1"/>
    <col min="111" max="111" width="29.140625" bestFit="1" customWidth="1"/>
    <col min="112" max="112" width="29.7109375" customWidth="1"/>
    <col min="113" max="113" width="19.85546875" bestFit="1" customWidth="1"/>
    <col min="114" max="114" width="20.42578125" customWidth="1"/>
    <col min="115" max="115" width="25.7109375" customWidth="1"/>
    <col min="116" max="116" width="26.42578125" customWidth="1"/>
    <col min="117" max="117" width="24.85546875" customWidth="1"/>
    <col min="118" max="118" width="25.42578125" customWidth="1"/>
    <col min="119" max="119" width="4" customWidth="1"/>
    <col min="120" max="120" width="6" customWidth="1"/>
    <col min="121" max="123" width="4" customWidth="1"/>
    <col min="124" max="136" width="5" customWidth="1"/>
    <col min="137" max="147" width="6" customWidth="1"/>
    <col min="148" max="148" width="9" customWidth="1"/>
    <col min="149" max="149" width="6" customWidth="1"/>
    <col min="150" max="150" width="7" customWidth="1"/>
    <col min="151" max="153" width="11.140625" customWidth="1"/>
    <col min="154" max="154" width="12.5703125" bestFit="1" customWidth="1"/>
  </cols>
  <sheetData>
    <row r="2" spans="2:9" x14ac:dyDescent="0.25">
      <c r="B2" s="77" t="s">
        <v>99</v>
      </c>
      <c r="C2" s="78"/>
      <c r="D2" s="78"/>
      <c r="E2" s="78"/>
      <c r="F2" s="78"/>
      <c r="G2" s="78"/>
      <c r="H2"/>
      <c r="I2"/>
    </row>
    <row r="4" spans="2:9" x14ac:dyDescent="0.25">
      <c r="C4" s="74" t="s">
        <v>124</v>
      </c>
      <c r="D4"/>
      <c r="E4"/>
      <c r="F4"/>
      <c r="G4"/>
      <c r="H4"/>
      <c r="I4"/>
    </row>
    <row r="5" spans="2:9" s="83" customFormat="1" ht="30" x14ac:dyDescent="0.25">
      <c r="B5" s="82" t="s">
        <v>122</v>
      </c>
      <c r="C5" s="83" t="s">
        <v>102</v>
      </c>
      <c r="D5" s="83" t="s">
        <v>103</v>
      </c>
      <c r="E5" s="83" t="s">
        <v>104</v>
      </c>
      <c r="F5" s="83" t="s">
        <v>105</v>
      </c>
      <c r="G5" s="83" t="s">
        <v>91</v>
      </c>
    </row>
    <row r="6" spans="2:9" x14ac:dyDescent="0.25">
      <c r="B6" s="75" t="s">
        <v>93</v>
      </c>
      <c r="C6" s="76">
        <v>331492.65000000002</v>
      </c>
      <c r="D6" s="76">
        <v>45000</v>
      </c>
      <c r="E6" s="76">
        <v>0</v>
      </c>
      <c r="F6" s="76">
        <v>0</v>
      </c>
      <c r="G6" s="76">
        <v>376492.65</v>
      </c>
      <c r="H6"/>
      <c r="I6"/>
    </row>
    <row r="7" spans="2:9" x14ac:dyDescent="0.25">
      <c r="B7" s="75" t="s">
        <v>92</v>
      </c>
      <c r="C7" s="76">
        <v>151739.89000000001</v>
      </c>
      <c r="D7" s="76">
        <v>149340.66999999998</v>
      </c>
      <c r="E7" s="76">
        <v>10102.24</v>
      </c>
      <c r="F7" s="76">
        <v>27900</v>
      </c>
      <c r="G7" s="76">
        <v>339082.8</v>
      </c>
      <c r="H7"/>
      <c r="I7"/>
    </row>
    <row r="8" spans="2:9" x14ac:dyDescent="0.25">
      <c r="B8" s="75" t="s">
        <v>94</v>
      </c>
      <c r="C8" s="76">
        <v>232741.48000000004</v>
      </c>
      <c r="D8" s="76">
        <v>164362.37</v>
      </c>
      <c r="E8" s="76">
        <v>4737.6499999999996</v>
      </c>
      <c r="F8" s="76">
        <v>-29133</v>
      </c>
      <c r="G8" s="76">
        <v>372708.50000000006</v>
      </c>
      <c r="H8"/>
      <c r="I8"/>
    </row>
    <row r="9" spans="2:9" x14ac:dyDescent="0.25">
      <c r="B9" s="75" t="s">
        <v>95</v>
      </c>
      <c r="C9" s="76">
        <v>145000</v>
      </c>
      <c r="D9" s="76">
        <v>191000</v>
      </c>
      <c r="E9" s="76">
        <v>27000</v>
      </c>
      <c r="F9" s="76">
        <v>13144</v>
      </c>
      <c r="G9" s="76">
        <v>376144</v>
      </c>
      <c r="H9"/>
      <c r="I9"/>
    </row>
    <row r="10" spans="2:9" x14ac:dyDescent="0.25">
      <c r="B10" s="75" t="s">
        <v>96</v>
      </c>
      <c r="C10" s="76">
        <v>241000</v>
      </c>
      <c r="D10" s="76">
        <v>228806</v>
      </c>
      <c r="E10" s="76">
        <v>32508</v>
      </c>
      <c r="F10" s="76"/>
      <c r="G10" s="76">
        <v>502314</v>
      </c>
    </row>
    <row r="11" spans="2:9" x14ac:dyDescent="0.25">
      <c r="B11" s="75" t="s">
        <v>97</v>
      </c>
      <c r="C11" s="76">
        <v>310100</v>
      </c>
      <c r="D11" s="76">
        <v>237004</v>
      </c>
      <c r="E11" s="76">
        <v>49391</v>
      </c>
      <c r="F11" s="76"/>
      <c r="G11" s="76">
        <v>596495</v>
      </c>
    </row>
    <row r="12" spans="2:9" x14ac:dyDescent="0.25">
      <c r="B12" s="75" t="s">
        <v>98</v>
      </c>
      <c r="C12" s="76">
        <v>386110.00000000006</v>
      </c>
      <c r="D12" s="76">
        <v>245611.5</v>
      </c>
      <c r="E12" s="76">
        <v>72992.75</v>
      </c>
      <c r="F12" s="76"/>
      <c r="G12" s="76">
        <v>704714.25</v>
      </c>
    </row>
    <row r="30" spans="1:9" x14ac:dyDescent="0.25">
      <c r="B30" s="74" t="s">
        <v>88</v>
      </c>
      <c r="C30" t="s">
        <v>100</v>
      </c>
    </row>
    <row r="31" spans="1:9" x14ac:dyDescent="0.25">
      <c r="A31" s="75"/>
      <c r="B31" s="75"/>
      <c r="F31"/>
      <c r="G31"/>
      <c r="H31"/>
      <c r="I31"/>
    </row>
    <row r="32" spans="1:9" x14ac:dyDescent="0.25">
      <c r="B32" s="74" t="s">
        <v>122</v>
      </c>
      <c r="C32"/>
      <c r="D32"/>
      <c r="E32"/>
      <c r="F32"/>
      <c r="G32"/>
      <c r="H32"/>
      <c r="I32"/>
    </row>
    <row r="33" spans="2:9" x14ac:dyDescent="0.25">
      <c r="B33" s="75" t="s">
        <v>93</v>
      </c>
      <c r="C33" s="76">
        <v>376492.65</v>
      </c>
      <c r="D33"/>
      <c r="E33"/>
      <c r="F33"/>
      <c r="G33"/>
      <c r="H33"/>
      <c r="I33"/>
    </row>
    <row r="34" spans="2:9" x14ac:dyDescent="0.25">
      <c r="B34" s="75" t="s">
        <v>92</v>
      </c>
      <c r="C34" s="76">
        <v>339082.8</v>
      </c>
      <c r="D34"/>
      <c r="E34"/>
      <c r="F34"/>
      <c r="G34"/>
      <c r="H34"/>
      <c r="I34"/>
    </row>
    <row r="35" spans="2:9" x14ac:dyDescent="0.25">
      <c r="B35" s="75" t="s">
        <v>94</v>
      </c>
      <c r="C35" s="76">
        <v>372708.5</v>
      </c>
      <c r="D35"/>
      <c r="E35"/>
      <c r="F35"/>
      <c r="G35"/>
      <c r="H35"/>
      <c r="I35"/>
    </row>
    <row r="36" spans="2:9" x14ac:dyDescent="0.25">
      <c r="B36" s="75" t="s">
        <v>95</v>
      </c>
      <c r="C36" s="76">
        <v>376144</v>
      </c>
      <c r="D36"/>
      <c r="E36"/>
      <c r="F36"/>
      <c r="G36"/>
      <c r="H36"/>
      <c r="I36"/>
    </row>
    <row r="37" spans="2:9" x14ac:dyDescent="0.25">
      <c r="B37" s="75" t="s">
        <v>96</v>
      </c>
      <c r="C37" s="76">
        <v>502314</v>
      </c>
      <c r="D37"/>
      <c r="E37"/>
      <c r="F37"/>
      <c r="G37"/>
      <c r="H37"/>
      <c r="I37"/>
    </row>
    <row r="38" spans="2:9" x14ac:dyDescent="0.25">
      <c r="B38" s="75" t="s">
        <v>97</v>
      </c>
      <c r="C38" s="76">
        <v>596495</v>
      </c>
      <c r="D38"/>
      <c r="E38"/>
      <c r="F38"/>
      <c r="G38"/>
    </row>
    <row r="39" spans="2:9" x14ac:dyDescent="0.25">
      <c r="B39" s="75" t="s">
        <v>98</v>
      </c>
      <c r="C39" s="76">
        <v>704714.25</v>
      </c>
      <c r="D39"/>
      <c r="E39"/>
      <c r="F39"/>
      <c r="G39"/>
    </row>
    <row r="40" spans="2:9" x14ac:dyDescent="0.25">
      <c r="C40"/>
      <c r="D40"/>
      <c r="E40"/>
      <c r="F40"/>
      <c r="G40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69" orientation="portrait" r:id="rId3"/>
  <headerFooter>
    <oddHeader>&amp;C&amp;8&amp;F&amp;R&amp;8Confidentiel</oddHeader>
    <oddFooter>&amp;L&amp;8&amp;D&amp;C&amp;8&amp;A&amp;R&amp;8&amp;F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showGridLines="0" view="pageBreakPreview" topLeftCell="A13" zoomScaleNormal="100" zoomScaleSheetLayoutView="100" workbookViewId="0">
      <selection activeCell="C37" sqref="C37"/>
    </sheetView>
  </sheetViews>
  <sheetFormatPr baseColWidth="10" defaultRowHeight="15" x14ac:dyDescent="0.25"/>
  <cols>
    <col min="1" max="1" width="2.85546875" customWidth="1"/>
    <col min="2" max="2" width="11.5703125" customWidth="1"/>
    <col min="3" max="6" width="19" style="75" customWidth="1"/>
    <col min="7" max="7" width="12.5703125" style="75" customWidth="1"/>
    <col min="8" max="9" width="9.140625" style="75" customWidth="1"/>
    <col min="10" max="11" width="20.42578125" customWidth="1"/>
    <col min="12" max="12" width="19.85546875" customWidth="1"/>
    <col min="13" max="14" width="20.42578125" customWidth="1"/>
    <col min="15" max="15" width="19.85546875" customWidth="1"/>
    <col min="16" max="17" width="20.42578125" customWidth="1"/>
    <col min="18" max="18" width="19.85546875" customWidth="1"/>
    <col min="19" max="20" width="20.42578125" customWidth="1"/>
    <col min="21" max="21" width="19.85546875" customWidth="1"/>
    <col min="22" max="23" width="20.42578125" customWidth="1"/>
    <col min="24" max="24" width="19.85546875" customWidth="1"/>
    <col min="25" max="26" width="20.42578125" customWidth="1"/>
    <col min="27" max="27" width="19.85546875" customWidth="1"/>
    <col min="28" max="29" width="20.42578125" customWidth="1"/>
    <col min="30" max="30" width="19.85546875" customWidth="1"/>
    <col min="31" max="32" width="20.42578125" customWidth="1"/>
    <col min="33" max="33" width="19.85546875" customWidth="1"/>
    <col min="34" max="35" width="20.42578125" customWidth="1"/>
    <col min="36" max="36" width="19.85546875" customWidth="1"/>
    <col min="37" max="38" width="20.42578125" customWidth="1"/>
    <col min="39" max="39" width="19.85546875" customWidth="1"/>
    <col min="40" max="41" width="20.42578125" customWidth="1"/>
    <col min="42" max="42" width="19.85546875" customWidth="1"/>
    <col min="43" max="44" width="20.42578125" customWidth="1"/>
    <col min="45" max="45" width="19.85546875" customWidth="1"/>
    <col min="46" max="47" width="20.42578125" customWidth="1"/>
    <col min="48" max="48" width="19.85546875" customWidth="1"/>
    <col min="49" max="50" width="20.42578125" customWidth="1"/>
    <col min="51" max="51" width="19.85546875" customWidth="1"/>
    <col min="52" max="53" width="20.42578125" customWidth="1"/>
    <col min="54" max="54" width="19.85546875" customWidth="1"/>
    <col min="55" max="56" width="20.42578125" customWidth="1"/>
    <col min="57" max="57" width="19.85546875" customWidth="1"/>
    <col min="58" max="59" width="20.42578125" customWidth="1"/>
    <col min="60" max="60" width="19.85546875" customWidth="1"/>
    <col min="61" max="62" width="20.42578125" customWidth="1"/>
    <col min="63" max="63" width="19.85546875" customWidth="1"/>
    <col min="64" max="65" width="20.42578125" customWidth="1"/>
    <col min="66" max="66" width="19.85546875" customWidth="1"/>
    <col min="67" max="68" width="20.42578125" customWidth="1"/>
    <col min="69" max="69" width="19.85546875" customWidth="1"/>
    <col min="70" max="71" width="20.42578125" customWidth="1"/>
    <col min="72" max="72" width="19.85546875" customWidth="1"/>
    <col min="73" max="74" width="20.42578125" customWidth="1"/>
    <col min="75" max="75" width="19.85546875" customWidth="1"/>
    <col min="76" max="77" width="20.42578125" customWidth="1"/>
    <col min="78" max="78" width="19.85546875" customWidth="1"/>
    <col min="79" max="80" width="20.42578125" customWidth="1"/>
    <col min="81" max="81" width="19.85546875" customWidth="1"/>
    <col min="82" max="83" width="20.42578125" customWidth="1"/>
    <col min="84" max="84" width="24.85546875" customWidth="1"/>
    <col min="85" max="86" width="25.42578125" customWidth="1"/>
    <col min="87" max="87" width="26.5703125" customWidth="1"/>
    <col min="88" max="88" width="27.140625" customWidth="1"/>
    <col min="89" max="89" width="19.85546875" customWidth="1"/>
    <col min="90" max="90" width="20.42578125" bestFit="1" customWidth="1"/>
    <col min="91" max="91" width="26.5703125" customWidth="1"/>
    <col min="92" max="92" width="27.140625" customWidth="1"/>
    <col min="93" max="93" width="19.85546875" bestFit="1" customWidth="1"/>
    <col min="94" max="94" width="20.42578125" bestFit="1" customWidth="1"/>
    <col min="95" max="95" width="29.140625" bestFit="1" customWidth="1"/>
    <col min="96" max="96" width="29.7109375" customWidth="1"/>
    <col min="97" max="97" width="19.85546875" bestFit="1" customWidth="1"/>
    <col min="98" max="98" width="20.42578125" customWidth="1"/>
    <col min="99" max="99" width="29.140625" bestFit="1" customWidth="1"/>
    <col min="100" max="100" width="29.7109375" customWidth="1"/>
    <col min="101" max="101" width="19.85546875" bestFit="1" customWidth="1"/>
    <col min="102" max="102" width="20.42578125" customWidth="1"/>
    <col min="103" max="103" width="29.140625" bestFit="1" customWidth="1"/>
    <col min="104" max="104" width="29.7109375" customWidth="1"/>
    <col min="105" max="105" width="19.85546875" bestFit="1" customWidth="1"/>
    <col min="106" max="106" width="20.42578125" customWidth="1"/>
    <col min="107" max="107" width="29.140625" bestFit="1" customWidth="1"/>
    <col min="108" max="108" width="29.7109375" customWidth="1"/>
    <col min="109" max="109" width="19.85546875" bestFit="1" customWidth="1"/>
    <col min="110" max="110" width="20.42578125" bestFit="1" customWidth="1"/>
    <col min="111" max="111" width="29.140625" bestFit="1" customWidth="1"/>
    <col min="112" max="112" width="29.7109375" customWidth="1"/>
    <col min="113" max="113" width="19.85546875" bestFit="1" customWidth="1"/>
    <col min="114" max="114" width="20.42578125" customWidth="1"/>
    <col min="115" max="115" width="25.7109375" customWidth="1"/>
    <col min="116" max="116" width="26.42578125" customWidth="1"/>
    <col min="117" max="117" width="24.85546875" customWidth="1"/>
    <col min="118" max="118" width="25.42578125" customWidth="1"/>
    <col min="119" max="119" width="4" customWidth="1"/>
    <col min="120" max="120" width="6" customWidth="1"/>
    <col min="121" max="123" width="4" customWidth="1"/>
    <col min="124" max="136" width="5" customWidth="1"/>
    <col min="137" max="147" width="6" customWidth="1"/>
    <col min="148" max="148" width="9" customWidth="1"/>
    <col min="149" max="149" width="6" customWidth="1"/>
    <col min="150" max="150" width="7" customWidth="1"/>
    <col min="151" max="153" width="11.140625" customWidth="1"/>
    <col min="154" max="154" width="12.5703125" bestFit="1" customWidth="1"/>
  </cols>
  <sheetData>
    <row r="2" spans="2:9" x14ac:dyDescent="0.25">
      <c r="B2" s="77" t="s">
        <v>101</v>
      </c>
      <c r="C2" s="78"/>
      <c r="D2" s="78"/>
      <c r="E2" s="78"/>
      <c r="F2" s="78"/>
      <c r="G2" s="78"/>
      <c r="H2"/>
      <c r="I2"/>
    </row>
    <row r="4" spans="2:9" x14ac:dyDescent="0.25">
      <c r="C4" s="74" t="s">
        <v>124</v>
      </c>
      <c r="D4"/>
      <c r="E4"/>
      <c r="F4"/>
      <c r="G4"/>
      <c r="H4"/>
      <c r="I4"/>
    </row>
    <row r="5" spans="2:9" s="83" customFormat="1" ht="30" x14ac:dyDescent="0.25">
      <c r="B5" s="82" t="s">
        <v>122</v>
      </c>
      <c r="C5" s="83" t="s">
        <v>106</v>
      </c>
      <c r="D5" s="83" t="s">
        <v>107</v>
      </c>
      <c r="E5" s="83" t="s">
        <v>108</v>
      </c>
      <c r="F5" s="83" t="s">
        <v>109</v>
      </c>
      <c r="G5" s="83" t="s">
        <v>91</v>
      </c>
    </row>
    <row r="6" spans="2:9" x14ac:dyDescent="0.25">
      <c r="B6" s="75" t="s">
        <v>93</v>
      </c>
      <c r="C6" s="76">
        <v>126191.09</v>
      </c>
      <c r="D6" s="76">
        <v>16445</v>
      </c>
      <c r="E6" s="76">
        <v>103960</v>
      </c>
      <c r="F6" s="76">
        <v>2860</v>
      </c>
      <c r="G6" s="76">
        <v>249456.09</v>
      </c>
      <c r="H6"/>
      <c r="I6"/>
    </row>
    <row r="7" spans="2:9" x14ac:dyDescent="0.25">
      <c r="B7" s="75" t="s">
        <v>92</v>
      </c>
      <c r="C7" s="76">
        <v>38681.699999999997</v>
      </c>
      <c r="D7" s="76">
        <v>35233</v>
      </c>
      <c r="E7" s="76">
        <v>183447</v>
      </c>
      <c r="F7" s="76">
        <v>2749</v>
      </c>
      <c r="G7" s="76">
        <v>260110.7</v>
      </c>
      <c r="H7"/>
      <c r="I7"/>
    </row>
    <row r="8" spans="2:9" x14ac:dyDescent="0.25">
      <c r="B8" s="75" t="s">
        <v>94</v>
      </c>
      <c r="C8" s="76">
        <v>62300.17</v>
      </c>
      <c r="D8" s="76">
        <v>38577</v>
      </c>
      <c r="E8" s="76">
        <v>188783</v>
      </c>
      <c r="F8" s="76">
        <v>2911</v>
      </c>
      <c r="G8" s="76">
        <v>292571.17</v>
      </c>
      <c r="H8"/>
      <c r="I8"/>
    </row>
    <row r="9" spans="2:9" x14ac:dyDescent="0.25">
      <c r="B9" s="75" t="s">
        <v>95</v>
      </c>
      <c r="C9" s="76">
        <v>5000</v>
      </c>
      <c r="D9" s="76">
        <v>27454</v>
      </c>
      <c r="E9" s="76">
        <v>234085.35</v>
      </c>
      <c r="F9" s="76">
        <v>3000</v>
      </c>
      <c r="G9" s="76">
        <v>269539.34999999998</v>
      </c>
      <c r="H9"/>
      <c r="I9"/>
    </row>
    <row r="10" spans="2:9" x14ac:dyDescent="0.25">
      <c r="B10" s="75" t="s">
        <v>96</v>
      </c>
      <c r="C10" s="76">
        <v>5012</v>
      </c>
      <c r="D10" s="76">
        <v>29833.4</v>
      </c>
      <c r="E10" s="76">
        <v>275724.01400000002</v>
      </c>
      <c r="F10" s="76">
        <v>3000</v>
      </c>
      <c r="G10" s="76">
        <v>313569.41400000005</v>
      </c>
    </row>
    <row r="11" spans="2:9" x14ac:dyDescent="0.25">
      <c r="B11" s="75" t="s">
        <v>97</v>
      </c>
      <c r="C11" s="76">
        <v>5024</v>
      </c>
      <c r="D11" s="76">
        <v>33471.31</v>
      </c>
      <c r="E11" s="76">
        <v>286529.37456000003</v>
      </c>
      <c r="F11" s="76">
        <v>3000</v>
      </c>
      <c r="G11" s="76">
        <v>328024.68456000002</v>
      </c>
    </row>
    <row r="12" spans="2:9" x14ac:dyDescent="0.25">
      <c r="B12" s="75" t="s">
        <v>98</v>
      </c>
      <c r="C12" s="76">
        <v>5036</v>
      </c>
      <c r="D12" s="76">
        <v>38171.905500000001</v>
      </c>
      <c r="E12" s="76">
        <v>308992.92452480004</v>
      </c>
      <c r="F12" s="76">
        <v>3000</v>
      </c>
      <c r="G12" s="76">
        <v>355200.83002480003</v>
      </c>
    </row>
    <row r="30" spans="1:9" x14ac:dyDescent="0.25">
      <c r="B30" s="74" t="s">
        <v>88</v>
      </c>
      <c r="C30" t="s">
        <v>100</v>
      </c>
    </row>
    <row r="31" spans="1:9" x14ac:dyDescent="0.25">
      <c r="A31" s="75"/>
      <c r="B31" s="75"/>
      <c r="F31"/>
      <c r="G31"/>
      <c r="H31"/>
      <c r="I31"/>
    </row>
    <row r="32" spans="1:9" x14ac:dyDescent="0.25">
      <c r="B32" s="74" t="s">
        <v>122</v>
      </c>
      <c r="C32"/>
      <c r="D32"/>
      <c r="E32"/>
      <c r="F32"/>
      <c r="G32"/>
      <c r="H32"/>
      <c r="I32"/>
    </row>
    <row r="33" spans="2:9" x14ac:dyDescent="0.25">
      <c r="B33" s="75" t="s">
        <v>93</v>
      </c>
      <c r="C33" s="76">
        <v>249456.09</v>
      </c>
      <c r="D33"/>
      <c r="E33"/>
      <c r="F33"/>
      <c r="G33"/>
      <c r="H33"/>
      <c r="I33"/>
    </row>
    <row r="34" spans="2:9" x14ac:dyDescent="0.25">
      <c r="B34" s="75" t="s">
        <v>92</v>
      </c>
      <c r="C34" s="76">
        <v>260110.7</v>
      </c>
      <c r="D34"/>
      <c r="E34"/>
      <c r="F34"/>
      <c r="G34"/>
      <c r="H34"/>
      <c r="I34"/>
    </row>
    <row r="35" spans="2:9" x14ac:dyDescent="0.25">
      <c r="B35" s="75" t="s">
        <v>94</v>
      </c>
      <c r="C35" s="76">
        <v>292571.17</v>
      </c>
      <c r="D35"/>
      <c r="E35"/>
      <c r="F35"/>
      <c r="G35"/>
      <c r="H35"/>
      <c r="I35"/>
    </row>
    <row r="36" spans="2:9" x14ac:dyDescent="0.25">
      <c r="B36" s="75" t="s">
        <v>95</v>
      </c>
      <c r="C36" s="76">
        <v>269539.34999999998</v>
      </c>
      <c r="D36"/>
      <c r="E36"/>
      <c r="F36"/>
      <c r="G36"/>
      <c r="H36"/>
      <c r="I36"/>
    </row>
    <row r="37" spans="2:9" x14ac:dyDescent="0.25">
      <c r="B37" s="75" t="s">
        <v>96</v>
      </c>
      <c r="C37" s="76">
        <v>313569.41400000005</v>
      </c>
      <c r="D37"/>
      <c r="E37"/>
      <c r="F37"/>
      <c r="G37"/>
      <c r="H37"/>
      <c r="I37"/>
    </row>
    <row r="38" spans="2:9" x14ac:dyDescent="0.25">
      <c r="B38" s="75" t="s">
        <v>97</v>
      </c>
      <c r="C38" s="76">
        <v>328024.68456000002</v>
      </c>
      <c r="D38"/>
      <c r="E38"/>
      <c r="F38"/>
      <c r="G38"/>
    </row>
    <row r="39" spans="2:9" x14ac:dyDescent="0.25">
      <c r="B39" s="75" t="s">
        <v>98</v>
      </c>
      <c r="C39" s="76">
        <v>355200.83002480003</v>
      </c>
      <c r="D39"/>
      <c r="E39"/>
      <c r="F39"/>
      <c r="G39"/>
    </row>
    <row r="40" spans="2:9" x14ac:dyDescent="0.25">
      <c r="C40"/>
      <c r="D40"/>
      <c r="E40"/>
      <c r="F40"/>
      <c r="G40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88" orientation="portrait" r:id="rId3"/>
  <headerFooter>
    <oddHeader>&amp;C&amp;8&amp;F&amp;R&amp;8Confidentiel</oddHeader>
    <oddFooter>&amp;L&amp;8&amp;D&amp;C&amp;8&amp;A&amp;R&amp;8&amp;F</oddFooter>
  </headerFooter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0"/>
  <sheetViews>
    <sheetView showGridLines="0" view="pageBreakPreview" topLeftCell="A31" zoomScaleNormal="100" zoomScaleSheetLayoutView="100" workbookViewId="0">
      <selection activeCell="J13" sqref="J13"/>
    </sheetView>
  </sheetViews>
  <sheetFormatPr baseColWidth="10" defaultRowHeight="15" x14ac:dyDescent="0.25"/>
  <cols>
    <col min="1" max="1" width="2.85546875" customWidth="1"/>
    <col min="2" max="2" width="13.5703125" customWidth="1"/>
    <col min="3" max="7" width="22.140625" style="75" customWidth="1"/>
    <col min="8" max="8" width="12.5703125" style="75" customWidth="1"/>
    <col min="9" max="9" width="9.140625" style="75" customWidth="1"/>
    <col min="10" max="11" width="20.42578125" customWidth="1"/>
    <col min="12" max="12" width="19.85546875" customWidth="1"/>
    <col min="13" max="14" width="20.42578125" customWidth="1"/>
    <col min="15" max="15" width="19.85546875" customWidth="1"/>
    <col min="16" max="17" width="20.42578125" customWidth="1"/>
    <col min="18" max="18" width="19.85546875" customWidth="1"/>
    <col min="19" max="20" width="20.42578125" customWidth="1"/>
    <col min="21" max="21" width="19.85546875" customWidth="1"/>
    <col min="22" max="23" width="20.42578125" customWidth="1"/>
    <col min="24" max="24" width="19.85546875" customWidth="1"/>
    <col min="25" max="26" width="20.42578125" customWidth="1"/>
    <col min="27" max="27" width="19.85546875" customWidth="1"/>
    <col min="28" max="29" width="20.42578125" customWidth="1"/>
    <col min="30" max="30" width="19.85546875" customWidth="1"/>
    <col min="31" max="32" width="20.42578125" customWidth="1"/>
    <col min="33" max="33" width="19.85546875" customWidth="1"/>
    <col min="34" max="35" width="20.42578125" customWidth="1"/>
    <col min="36" max="36" width="19.85546875" customWidth="1"/>
    <col min="37" max="38" width="20.42578125" customWidth="1"/>
    <col min="39" max="39" width="19.85546875" customWidth="1"/>
    <col min="40" max="41" width="20.42578125" customWidth="1"/>
    <col min="42" max="42" width="19.85546875" customWidth="1"/>
    <col min="43" max="44" width="20.42578125" customWidth="1"/>
    <col min="45" max="45" width="19.85546875" customWidth="1"/>
    <col min="46" max="47" width="20.42578125" customWidth="1"/>
    <col min="48" max="48" width="19.85546875" customWidth="1"/>
    <col min="49" max="50" width="20.42578125" customWidth="1"/>
    <col min="51" max="51" width="19.85546875" customWidth="1"/>
    <col min="52" max="53" width="20.42578125" customWidth="1"/>
    <col min="54" max="54" width="19.85546875" customWidth="1"/>
    <col min="55" max="56" width="20.42578125" customWidth="1"/>
    <col min="57" max="57" width="19.85546875" customWidth="1"/>
    <col min="58" max="59" width="20.42578125" customWidth="1"/>
    <col min="60" max="60" width="19.85546875" customWidth="1"/>
    <col min="61" max="62" width="20.42578125" customWidth="1"/>
    <col min="63" max="63" width="19.85546875" customWidth="1"/>
    <col min="64" max="65" width="20.42578125" customWidth="1"/>
    <col min="66" max="66" width="19.85546875" customWidth="1"/>
    <col min="67" max="68" width="20.42578125" customWidth="1"/>
    <col min="69" max="69" width="19.85546875" customWidth="1"/>
    <col min="70" max="71" width="20.42578125" customWidth="1"/>
    <col min="72" max="72" width="19.85546875" customWidth="1"/>
    <col min="73" max="74" width="20.42578125" customWidth="1"/>
    <col min="75" max="75" width="19.85546875" customWidth="1"/>
    <col min="76" max="77" width="20.42578125" customWidth="1"/>
    <col min="78" max="78" width="19.85546875" customWidth="1"/>
    <col min="79" max="80" width="20.42578125" customWidth="1"/>
    <col min="81" max="81" width="19.85546875" customWidth="1"/>
    <col min="82" max="83" width="20.42578125" customWidth="1"/>
    <col min="84" max="84" width="24.85546875" customWidth="1"/>
    <col min="85" max="86" width="25.42578125" customWidth="1"/>
    <col min="87" max="87" width="26.5703125" customWidth="1"/>
    <col min="88" max="88" width="27.140625" customWidth="1"/>
    <col min="89" max="89" width="19.85546875" customWidth="1"/>
    <col min="90" max="90" width="20.42578125" bestFit="1" customWidth="1"/>
    <col min="91" max="91" width="26.5703125" customWidth="1"/>
    <col min="92" max="92" width="27.140625" customWidth="1"/>
    <col min="93" max="93" width="19.85546875" bestFit="1" customWidth="1"/>
    <col min="94" max="94" width="20.42578125" bestFit="1" customWidth="1"/>
    <col min="95" max="95" width="29.140625" bestFit="1" customWidth="1"/>
    <col min="96" max="96" width="29.7109375" customWidth="1"/>
    <col min="97" max="97" width="19.85546875" bestFit="1" customWidth="1"/>
    <col min="98" max="98" width="20.42578125" customWidth="1"/>
    <col min="99" max="99" width="29.140625" bestFit="1" customWidth="1"/>
    <col min="100" max="100" width="29.7109375" customWidth="1"/>
    <col min="101" max="101" width="19.85546875" bestFit="1" customWidth="1"/>
    <col min="102" max="102" width="20.42578125" customWidth="1"/>
    <col min="103" max="103" width="29.140625" bestFit="1" customWidth="1"/>
    <col min="104" max="104" width="29.7109375" customWidth="1"/>
    <col min="105" max="105" width="19.85546875" bestFit="1" customWidth="1"/>
    <col min="106" max="106" width="20.42578125" customWidth="1"/>
    <col min="107" max="107" width="29.140625" bestFit="1" customWidth="1"/>
    <col min="108" max="108" width="29.7109375" customWidth="1"/>
    <col min="109" max="109" width="19.85546875" bestFit="1" customWidth="1"/>
    <col min="110" max="110" width="20.42578125" bestFit="1" customWidth="1"/>
    <col min="111" max="111" width="29.140625" bestFit="1" customWidth="1"/>
    <col min="112" max="112" width="29.7109375" customWidth="1"/>
    <col min="113" max="113" width="19.85546875" bestFit="1" customWidth="1"/>
    <col min="114" max="114" width="20.42578125" customWidth="1"/>
    <col min="115" max="115" width="25.7109375" customWidth="1"/>
    <col min="116" max="116" width="26.42578125" customWidth="1"/>
    <col min="117" max="117" width="24.85546875" customWidth="1"/>
    <col min="118" max="118" width="25.42578125" customWidth="1"/>
    <col min="119" max="119" width="4" customWidth="1"/>
    <col min="120" max="120" width="6" customWidth="1"/>
    <col min="121" max="123" width="4" customWidth="1"/>
    <col min="124" max="136" width="5" customWidth="1"/>
    <col min="137" max="147" width="6" customWidth="1"/>
    <col min="148" max="148" width="9" customWidth="1"/>
    <col min="149" max="149" width="6" customWidth="1"/>
    <col min="150" max="150" width="7" customWidth="1"/>
    <col min="151" max="153" width="11.140625" customWidth="1"/>
    <col min="154" max="154" width="12.5703125" bestFit="1" customWidth="1"/>
  </cols>
  <sheetData>
    <row r="2" spans="2:9" x14ac:dyDescent="0.25">
      <c r="B2" s="77" t="s">
        <v>119</v>
      </c>
      <c r="C2" s="78"/>
      <c r="D2" s="78"/>
      <c r="E2" s="78"/>
      <c r="F2" s="78"/>
      <c r="G2" s="78"/>
      <c r="H2" s="78"/>
      <c r="I2"/>
    </row>
    <row r="4" spans="2:9" x14ac:dyDescent="0.25">
      <c r="C4" s="74" t="s">
        <v>124</v>
      </c>
      <c r="D4"/>
      <c r="E4"/>
      <c r="F4"/>
      <c r="G4"/>
      <c r="H4"/>
      <c r="I4"/>
    </row>
    <row r="5" spans="2:9" s="81" customFormat="1" ht="45" x14ac:dyDescent="0.25">
      <c r="B5" s="82" t="s">
        <v>122</v>
      </c>
      <c r="C5" s="83" t="s">
        <v>110</v>
      </c>
      <c r="D5" s="83" t="s">
        <v>111</v>
      </c>
      <c r="E5" s="83" t="s">
        <v>112</v>
      </c>
      <c r="F5" s="83" t="s">
        <v>113</v>
      </c>
      <c r="G5" s="83" t="s">
        <v>114</v>
      </c>
      <c r="H5" s="83" t="s">
        <v>91</v>
      </c>
    </row>
    <row r="6" spans="2:9" x14ac:dyDescent="0.25">
      <c r="B6" s="75" t="s">
        <v>93</v>
      </c>
      <c r="C6" s="76">
        <v>13824</v>
      </c>
      <c r="D6" s="76">
        <v>6600</v>
      </c>
      <c r="E6" s="76">
        <v>75370</v>
      </c>
      <c r="F6" s="76">
        <v>1953</v>
      </c>
      <c r="G6" s="76">
        <v>17079</v>
      </c>
      <c r="H6" s="76">
        <v>114826</v>
      </c>
      <c r="I6"/>
    </row>
    <row r="7" spans="2:9" x14ac:dyDescent="0.25">
      <c r="B7" s="75" t="s">
        <v>92</v>
      </c>
      <c r="C7" s="76">
        <v>14211</v>
      </c>
      <c r="D7" s="76">
        <v>13764</v>
      </c>
      <c r="E7" s="76">
        <v>50307</v>
      </c>
      <c r="F7" s="76">
        <v>4378</v>
      </c>
      <c r="G7" s="76">
        <v>19097</v>
      </c>
      <c r="H7" s="76">
        <v>101757</v>
      </c>
      <c r="I7"/>
    </row>
    <row r="8" spans="2:9" x14ac:dyDescent="0.25">
      <c r="B8" s="75" t="s">
        <v>94</v>
      </c>
      <c r="C8" s="76">
        <v>18146</v>
      </c>
      <c r="D8" s="76">
        <v>21093</v>
      </c>
      <c r="E8" s="76">
        <v>43712</v>
      </c>
      <c r="F8" s="76">
        <v>4708</v>
      </c>
      <c r="G8" s="76">
        <v>37984</v>
      </c>
      <c r="H8" s="76">
        <v>125643</v>
      </c>
      <c r="I8"/>
    </row>
    <row r="9" spans="2:9" x14ac:dyDescent="0.25">
      <c r="B9" s="75" t="s">
        <v>95</v>
      </c>
      <c r="C9" s="76">
        <v>18950</v>
      </c>
      <c r="D9" s="76">
        <v>9211</v>
      </c>
      <c r="E9" s="76">
        <v>24000</v>
      </c>
      <c r="F9" s="76">
        <v>11492.5</v>
      </c>
      <c r="G9" s="76">
        <v>43000</v>
      </c>
      <c r="H9" s="76">
        <v>106653.5</v>
      </c>
      <c r="I9"/>
    </row>
    <row r="10" spans="2:9" x14ac:dyDescent="0.25">
      <c r="B10" s="75" t="s">
        <v>96</v>
      </c>
      <c r="C10" s="76">
        <v>19913.5</v>
      </c>
      <c r="D10" s="76">
        <v>7468.6</v>
      </c>
      <c r="E10" s="76">
        <v>12020</v>
      </c>
      <c r="F10" s="76">
        <v>14004.5</v>
      </c>
      <c r="G10" s="76">
        <v>0</v>
      </c>
      <c r="H10" s="76">
        <v>53406.6</v>
      </c>
    </row>
    <row r="11" spans="2:9" x14ac:dyDescent="0.25">
      <c r="B11" s="75" t="s">
        <v>97</v>
      </c>
      <c r="C11" s="76">
        <v>20925.175000000003</v>
      </c>
      <c r="D11" s="76">
        <v>7952.018</v>
      </c>
      <c r="E11" s="76">
        <v>12040</v>
      </c>
      <c r="F11" s="76">
        <v>14160.5</v>
      </c>
      <c r="G11" s="76">
        <v>0</v>
      </c>
      <c r="H11" s="76">
        <v>55077.692999999999</v>
      </c>
    </row>
    <row r="12" spans="2:9" x14ac:dyDescent="0.25">
      <c r="B12" s="75" t="s">
        <v>98</v>
      </c>
      <c r="C12" s="76">
        <v>21987.433750000004</v>
      </c>
      <c r="D12" s="76">
        <v>8473.4305400000012</v>
      </c>
      <c r="E12" s="76">
        <v>12060</v>
      </c>
      <c r="F12" s="76">
        <v>14323.7</v>
      </c>
      <c r="G12" s="76">
        <v>0</v>
      </c>
      <c r="H12" s="76">
        <v>56844.564290000009</v>
      </c>
    </row>
    <row r="30" spans="1:9" x14ac:dyDescent="0.25">
      <c r="B30" s="74" t="s">
        <v>88</v>
      </c>
      <c r="C30" t="s">
        <v>100</v>
      </c>
    </row>
    <row r="31" spans="1:9" x14ac:dyDescent="0.25">
      <c r="A31" s="75"/>
      <c r="B31" s="75"/>
      <c r="F31"/>
      <c r="G31"/>
      <c r="H31"/>
      <c r="I31"/>
    </row>
    <row r="32" spans="1:9" x14ac:dyDescent="0.25">
      <c r="B32" s="74" t="s">
        <v>122</v>
      </c>
      <c r="C32"/>
      <c r="D32"/>
      <c r="E32"/>
      <c r="F32"/>
      <c r="G32"/>
      <c r="H32"/>
      <c r="I32"/>
    </row>
    <row r="33" spans="2:9" x14ac:dyDescent="0.25">
      <c r="B33" s="75" t="s">
        <v>93</v>
      </c>
      <c r="C33" s="76">
        <v>114826</v>
      </c>
      <c r="D33"/>
      <c r="E33"/>
      <c r="F33"/>
      <c r="G33"/>
      <c r="H33"/>
      <c r="I33"/>
    </row>
    <row r="34" spans="2:9" x14ac:dyDescent="0.25">
      <c r="B34" s="75" t="s">
        <v>92</v>
      </c>
      <c r="C34" s="76">
        <v>101757</v>
      </c>
      <c r="D34"/>
      <c r="E34"/>
      <c r="F34"/>
      <c r="G34"/>
      <c r="H34"/>
      <c r="I34"/>
    </row>
    <row r="35" spans="2:9" x14ac:dyDescent="0.25">
      <c r="B35" s="75" t="s">
        <v>94</v>
      </c>
      <c r="C35" s="76">
        <v>125643</v>
      </c>
      <c r="D35"/>
      <c r="E35"/>
      <c r="F35"/>
      <c r="G35"/>
      <c r="H35"/>
      <c r="I35"/>
    </row>
    <row r="36" spans="2:9" x14ac:dyDescent="0.25">
      <c r="B36" s="75" t="s">
        <v>95</v>
      </c>
      <c r="C36" s="76">
        <v>106653.5</v>
      </c>
      <c r="D36"/>
      <c r="E36"/>
      <c r="F36"/>
      <c r="G36"/>
      <c r="H36"/>
      <c r="I36"/>
    </row>
    <row r="37" spans="2:9" x14ac:dyDescent="0.25">
      <c r="B37" s="75" t="s">
        <v>96</v>
      </c>
      <c r="C37" s="76">
        <v>53406.6</v>
      </c>
      <c r="D37"/>
      <c r="E37"/>
      <c r="F37"/>
      <c r="G37"/>
      <c r="H37"/>
      <c r="I37"/>
    </row>
    <row r="38" spans="2:9" x14ac:dyDescent="0.25">
      <c r="B38" s="75" t="s">
        <v>97</v>
      </c>
      <c r="C38" s="76">
        <v>55077.692999999999</v>
      </c>
      <c r="D38"/>
      <c r="E38"/>
      <c r="F38"/>
      <c r="G38"/>
    </row>
    <row r="39" spans="2:9" x14ac:dyDescent="0.25">
      <c r="B39" s="75" t="s">
        <v>98</v>
      </c>
      <c r="C39" s="76">
        <v>56844.564290000002</v>
      </c>
      <c r="D39"/>
      <c r="E39"/>
      <c r="F39"/>
      <c r="G39"/>
    </row>
    <row r="40" spans="2:9" x14ac:dyDescent="0.25">
      <c r="C40"/>
      <c r="D40"/>
      <c r="E40"/>
      <c r="F40"/>
      <c r="G40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66" orientation="portrait" r:id="rId3"/>
  <headerFooter>
    <oddHeader>&amp;C&amp;8&amp;F&amp;R&amp;8Confidentiel</oddHeader>
    <oddFooter>&amp;L&amp;8&amp;D&amp;C&amp;8&amp;A&amp;R&amp;8&amp;F</oddFooter>
  </headerFooter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9"/>
  <sheetViews>
    <sheetView showGridLines="0" view="pageBreakPreview" topLeftCell="A16" zoomScaleNormal="100" zoomScaleSheetLayoutView="100" workbookViewId="0">
      <selection activeCell="B94" sqref="B94"/>
    </sheetView>
  </sheetViews>
  <sheetFormatPr baseColWidth="10" defaultRowHeight="15" x14ac:dyDescent="0.25"/>
  <cols>
    <col min="1" max="1" width="2.85546875" customWidth="1"/>
    <col min="2" max="2" width="8.85546875" customWidth="1"/>
    <col min="3" max="3" width="24.140625" style="75" customWidth="1"/>
    <col min="4" max="4" width="24.42578125" style="75" customWidth="1"/>
    <col min="5" max="8" width="4.5703125" style="75" customWidth="1"/>
    <col min="9" max="9" width="9.140625" style="75" customWidth="1"/>
    <col min="10" max="11" width="20.42578125" customWidth="1"/>
    <col min="12" max="12" width="19.85546875" customWidth="1"/>
    <col min="13" max="14" width="20.42578125" customWidth="1"/>
    <col min="15" max="15" width="19.85546875" customWidth="1"/>
    <col min="16" max="17" width="20.42578125" customWidth="1"/>
    <col min="18" max="18" width="19.85546875" customWidth="1"/>
    <col min="19" max="20" width="20.42578125" customWidth="1"/>
    <col min="21" max="21" width="19.85546875" customWidth="1"/>
    <col min="22" max="23" width="20.42578125" customWidth="1"/>
    <col min="24" max="24" width="19.85546875" customWidth="1"/>
    <col min="25" max="26" width="20.42578125" customWidth="1"/>
    <col min="27" max="27" width="19.85546875" customWidth="1"/>
    <col min="28" max="29" width="20.42578125" customWidth="1"/>
    <col min="30" max="30" width="19.85546875" customWidth="1"/>
    <col min="31" max="32" width="20.42578125" customWidth="1"/>
    <col min="33" max="33" width="19.85546875" customWidth="1"/>
    <col min="34" max="35" width="20.42578125" customWidth="1"/>
    <col min="36" max="36" width="19.85546875" customWidth="1"/>
    <col min="37" max="38" width="20.42578125" customWidth="1"/>
    <col min="39" max="39" width="19.85546875" customWidth="1"/>
    <col min="40" max="41" width="20.42578125" customWidth="1"/>
    <col min="42" max="42" width="19.85546875" customWidth="1"/>
    <col min="43" max="44" width="20.42578125" customWidth="1"/>
    <col min="45" max="45" width="19.85546875" customWidth="1"/>
    <col min="46" max="47" width="20.42578125" customWidth="1"/>
    <col min="48" max="48" width="19.85546875" customWidth="1"/>
    <col min="49" max="50" width="20.42578125" customWidth="1"/>
    <col min="51" max="51" width="19.85546875" customWidth="1"/>
    <col min="52" max="53" width="20.42578125" customWidth="1"/>
    <col min="54" max="54" width="19.85546875" customWidth="1"/>
    <col min="55" max="56" width="20.42578125" customWidth="1"/>
    <col min="57" max="57" width="19.85546875" customWidth="1"/>
    <col min="58" max="59" width="20.42578125" customWidth="1"/>
    <col min="60" max="60" width="19.85546875" customWidth="1"/>
    <col min="61" max="62" width="20.42578125" customWidth="1"/>
    <col min="63" max="63" width="19.85546875" customWidth="1"/>
    <col min="64" max="65" width="20.42578125" customWidth="1"/>
    <col min="66" max="66" width="19.85546875" customWidth="1"/>
    <col min="67" max="68" width="20.42578125" customWidth="1"/>
    <col min="69" max="69" width="19.85546875" customWidth="1"/>
    <col min="70" max="71" width="20.42578125" customWidth="1"/>
    <col min="72" max="72" width="19.85546875" customWidth="1"/>
    <col min="73" max="74" width="20.42578125" customWidth="1"/>
    <col min="75" max="75" width="19.85546875" customWidth="1"/>
    <col min="76" max="77" width="20.42578125" customWidth="1"/>
    <col min="78" max="78" width="19.85546875" customWidth="1"/>
    <col min="79" max="80" width="20.42578125" customWidth="1"/>
    <col min="81" max="81" width="19.85546875" customWidth="1"/>
    <col min="82" max="83" width="20.42578125" customWidth="1"/>
    <col min="84" max="84" width="24.85546875" customWidth="1"/>
    <col min="85" max="86" width="25.42578125" customWidth="1"/>
    <col min="87" max="87" width="26.5703125" customWidth="1"/>
    <col min="88" max="88" width="27.140625" customWidth="1"/>
    <col min="89" max="89" width="19.85546875" customWidth="1"/>
    <col min="90" max="90" width="20.42578125" bestFit="1" customWidth="1"/>
    <col min="91" max="91" width="26.5703125" customWidth="1"/>
    <col min="92" max="92" width="27.140625" customWidth="1"/>
    <col min="93" max="93" width="19.85546875" bestFit="1" customWidth="1"/>
    <col min="94" max="94" width="20.42578125" bestFit="1" customWidth="1"/>
    <col min="95" max="95" width="29.140625" bestFit="1" customWidth="1"/>
    <col min="96" max="96" width="29.7109375" customWidth="1"/>
    <col min="97" max="97" width="19.85546875" bestFit="1" customWidth="1"/>
    <col min="98" max="98" width="20.42578125" customWidth="1"/>
    <col min="99" max="99" width="29.140625" bestFit="1" customWidth="1"/>
    <col min="100" max="100" width="29.7109375" customWidth="1"/>
    <col min="101" max="101" width="19.85546875" bestFit="1" customWidth="1"/>
    <col min="102" max="102" width="20.42578125" customWidth="1"/>
    <col min="103" max="103" width="29.140625" bestFit="1" customWidth="1"/>
    <col min="104" max="104" width="29.7109375" customWidth="1"/>
    <col min="105" max="105" width="19.85546875" bestFit="1" customWidth="1"/>
    <col min="106" max="106" width="20.42578125" customWidth="1"/>
    <col min="107" max="107" width="29.140625" bestFit="1" customWidth="1"/>
    <col min="108" max="108" width="29.7109375" customWidth="1"/>
    <col min="109" max="109" width="19.85546875" bestFit="1" customWidth="1"/>
    <col min="110" max="110" width="20.42578125" bestFit="1" customWidth="1"/>
    <col min="111" max="111" width="29.140625" bestFit="1" customWidth="1"/>
    <col min="112" max="112" width="29.7109375" customWidth="1"/>
    <col min="113" max="113" width="19.85546875" bestFit="1" customWidth="1"/>
    <col min="114" max="114" width="20.42578125" customWidth="1"/>
    <col min="115" max="115" width="25.7109375" customWidth="1"/>
    <col min="116" max="116" width="26.42578125" customWidth="1"/>
    <col min="117" max="117" width="24.85546875" customWidth="1"/>
    <col min="118" max="118" width="25.42578125" customWidth="1"/>
    <col min="119" max="119" width="4" customWidth="1"/>
    <col min="120" max="120" width="6" customWidth="1"/>
    <col min="121" max="123" width="4" customWidth="1"/>
    <col min="124" max="136" width="5" customWidth="1"/>
    <col min="137" max="147" width="6" customWidth="1"/>
    <col min="148" max="148" width="9" customWidth="1"/>
    <col min="149" max="149" width="6" customWidth="1"/>
    <col min="150" max="150" width="7" customWidth="1"/>
    <col min="151" max="153" width="11.140625" customWidth="1"/>
    <col min="154" max="154" width="12.5703125" bestFit="1" customWidth="1"/>
  </cols>
  <sheetData>
    <row r="2" spans="2:9" x14ac:dyDescent="0.25">
      <c r="B2" s="77" t="s">
        <v>120</v>
      </c>
      <c r="C2" s="78"/>
      <c r="D2" s="78"/>
      <c r="E2" s="78"/>
      <c r="F2" s="78"/>
      <c r="G2" s="78"/>
      <c r="H2" s="78"/>
      <c r="I2"/>
    </row>
    <row r="4" spans="2:9" x14ac:dyDescent="0.25">
      <c r="C4" s="74" t="s">
        <v>124</v>
      </c>
      <c r="D4"/>
      <c r="E4"/>
      <c r="F4"/>
      <c r="G4"/>
      <c r="H4"/>
      <c r="I4"/>
    </row>
    <row r="5" spans="2:9" x14ac:dyDescent="0.25">
      <c r="B5" s="74" t="s">
        <v>122</v>
      </c>
      <c r="C5" t="s">
        <v>115</v>
      </c>
      <c r="D5" t="s">
        <v>116</v>
      </c>
      <c r="E5"/>
      <c r="F5"/>
      <c r="G5"/>
      <c r="H5"/>
      <c r="I5"/>
    </row>
    <row r="6" spans="2:9" x14ac:dyDescent="0.25">
      <c r="B6" s="75" t="s">
        <v>93</v>
      </c>
      <c r="C6" s="76">
        <v>580</v>
      </c>
      <c r="D6" s="76">
        <v>1225</v>
      </c>
      <c r="E6"/>
      <c r="F6"/>
      <c r="G6"/>
      <c r="H6"/>
      <c r="I6"/>
    </row>
    <row r="7" spans="2:9" x14ac:dyDescent="0.25">
      <c r="B7" s="75" t="s">
        <v>92</v>
      </c>
      <c r="C7" s="76">
        <v>740</v>
      </c>
      <c r="D7" s="76">
        <v>1177</v>
      </c>
      <c r="E7"/>
      <c r="F7"/>
      <c r="G7"/>
      <c r="H7"/>
      <c r="I7"/>
    </row>
    <row r="8" spans="2:9" x14ac:dyDescent="0.25">
      <c r="B8" s="75" t="s">
        <v>94</v>
      </c>
      <c r="C8" s="76">
        <v>0</v>
      </c>
      <c r="D8" s="76">
        <v>1718</v>
      </c>
      <c r="E8"/>
      <c r="F8"/>
      <c r="G8"/>
      <c r="H8"/>
      <c r="I8"/>
    </row>
    <row r="9" spans="2:9" x14ac:dyDescent="0.25">
      <c r="B9" s="75" t="s">
        <v>95</v>
      </c>
      <c r="C9" s="76">
        <v>0</v>
      </c>
      <c r="D9" s="76">
        <v>0</v>
      </c>
      <c r="E9"/>
      <c r="F9"/>
      <c r="G9"/>
      <c r="H9"/>
      <c r="I9"/>
    </row>
    <row r="10" spans="2:9" x14ac:dyDescent="0.25">
      <c r="B10" s="75" t="s">
        <v>96</v>
      </c>
      <c r="C10" s="76">
        <v>4</v>
      </c>
      <c r="D10" s="76">
        <v>4</v>
      </c>
      <c r="E10"/>
      <c r="F10"/>
      <c r="G10"/>
      <c r="H10"/>
    </row>
    <row r="11" spans="2:9" x14ac:dyDescent="0.25">
      <c r="B11" s="75" t="s">
        <v>97</v>
      </c>
      <c r="C11" s="76">
        <v>8</v>
      </c>
      <c r="D11" s="76">
        <v>8</v>
      </c>
      <c r="E11"/>
      <c r="F11"/>
      <c r="G11"/>
      <c r="H11"/>
    </row>
    <row r="12" spans="2:9" x14ac:dyDescent="0.25">
      <c r="B12" s="75" t="s">
        <v>98</v>
      </c>
      <c r="C12" s="76">
        <v>12</v>
      </c>
      <c r="D12" s="76">
        <v>12</v>
      </c>
      <c r="E12"/>
      <c r="F12"/>
      <c r="G12"/>
      <c r="H12"/>
    </row>
    <row r="29" spans="2:9" x14ac:dyDescent="0.25">
      <c r="B29" s="77" t="s">
        <v>121</v>
      </c>
      <c r="C29" s="78"/>
      <c r="D29" s="78"/>
      <c r="E29" s="78"/>
      <c r="F29" s="78"/>
      <c r="G29" s="78"/>
      <c r="H29" s="78"/>
      <c r="I29"/>
    </row>
    <row r="30" spans="2:9" x14ac:dyDescent="0.25">
      <c r="B30" s="79"/>
      <c r="C30" s="80"/>
      <c r="D30" s="80"/>
      <c r="E30" s="80"/>
      <c r="F30" s="80"/>
      <c r="G30" s="80"/>
      <c r="H30" s="80"/>
      <c r="I30"/>
    </row>
    <row r="31" spans="2:9" x14ac:dyDescent="0.25">
      <c r="C31" s="74" t="s">
        <v>124</v>
      </c>
      <c r="D31"/>
      <c r="E31"/>
      <c r="F31"/>
      <c r="G31"/>
      <c r="H31"/>
      <c r="I31"/>
    </row>
    <row r="32" spans="2:9" x14ac:dyDescent="0.25">
      <c r="B32" s="74" t="s">
        <v>122</v>
      </c>
      <c r="C32" t="s">
        <v>117</v>
      </c>
      <c r="D32" t="s">
        <v>118</v>
      </c>
      <c r="E32"/>
      <c r="F32"/>
      <c r="G32"/>
      <c r="H32"/>
      <c r="I32"/>
    </row>
    <row r="33" spans="2:9" x14ac:dyDescent="0.25">
      <c r="B33" s="75" t="s">
        <v>93</v>
      </c>
      <c r="C33" s="76">
        <v>0</v>
      </c>
      <c r="D33" s="76">
        <v>0</v>
      </c>
      <c r="E33"/>
      <c r="F33"/>
      <c r="G33"/>
      <c r="H33"/>
      <c r="I33"/>
    </row>
    <row r="34" spans="2:9" x14ac:dyDescent="0.25">
      <c r="B34" s="75" t="s">
        <v>92</v>
      </c>
      <c r="C34" s="76">
        <v>276</v>
      </c>
      <c r="D34" s="76">
        <v>0</v>
      </c>
      <c r="E34"/>
      <c r="F34"/>
      <c r="G34"/>
      <c r="H34"/>
      <c r="I34"/>
    </row>
    <row r="35" spans="2:9" x14ac:dyDescent="0.25">
      <c r="B35" s="75" t="s">
        <v>94</v>
      </c>
      <c r="C35" s="76">
        <v>0</v>
      </c>
      <c r="D35" s="76">
        <v>0</v>
      </c>
      <c r="E35"/>
      <c r="F35"/>
      <c r="G35"/>
      <c r="H35"/>
      <c r="I35"/>
    </row>
    <row r="36" spans="2:9" x14ac:dyDescent="0.25">
      <c r="B36" s="75" t="s">
        <v>95</v>
      </c>
      <c r="C36" s="76">
        <v>0</v>
      </c>
      <c r="D36" s="76">
        <v>0</v>
      </c>
      <c r="E36"/>
      <c r="F36"/>
      <c r="G36"/>
      <c r="H36"/>
      <c r="I36"/>
    </row>
    <row r="37" spans="2:9" x14ac:dyDescent="0.25">
      <c r="B37" s="75" t="s">
        <v>96</v>
      </c>
      <c r="C37" s="76">
        <v>4</v>
      </c>
      <c r="D37" s="76">
        <v>4</v>
      </c>
      <c r="E37"/>
      <c r="F37"/>
      <c r="G37"/>
      <c r="H37"/>
    </row>
    <row r="38" spans="2:9" x14ac:dyDescent="0.25">
      <c r="B38" s="75" t="s">
        <v>97</v>
      </c>
      <c r="C38" s="76">
        <v>8</v>
      </c>
      <c r="D38" s="76">
        <v>8</v>
      </c>
      <c r="E38"/>
      <c r="F38"/>
      <c r="G38"/>
      <c r="H38"/>
    </row>
    <row r="39" spans="2:9" x14ac:dyDescent="0.25">
      <c r="B39" s="75" t="s">
        <v>98</v>
      </c>
      <c r="C39" s="76">
        <v>12</v>
      </c>
      <c r="D39" s="76">
        <v>12</v>
      </c>
      <c r="E39"/>
      <c r="F39"/>
      <c r="G39"/>
      <c r="H39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93" orientation="portrait" r:id="rId3"/>
  <headerFooter>
    <oddHeader>&amp;C&amp;8&amp;F&amp;R&amp;8Confidentiel</oddHeader>
    <oddFooter>&amp;L&amp;8&amp;D&amp;C&amp;8&amp;A&amp;R&amp;8&amp;F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BP-Alliage</vt:lpstr>
      <vt:lpstr>Synthèse</vt:lpstr>
      <vt:lpstr>Chapitre 2</vt:lpstr>
      <vt:lpstr>Chapitre 3</vt:lpstr>
      <vt:lpstr>Chapitre 4</vt:lpstr>
      <vt:lpstr>Chapitre 5&amp;6</vt:lpstr>
      <vt:lpstr>source</vt:lpstr>
      <vt:lpstr>'Chapitre 2'!Zone_d_impression</vt:lpstr>
      <vt:lpstr>'Chapitre 3'!Zone_d_impression</vt:lpstr>
      <vt:lpstr>'Chapitre 4'!Zone_d_impression</vt:lpstr>
      <vt:lpstr>'Chapitre 5&amp;6'!Zone_d_impression</vt:lpstr>
      <vt:lpstr>Synthèse!Zone_d_impression</vt:lpstr>
    </vt:vector>
  </TitlesOfParts>
  <Company>ALLIAGE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Dupleix</dc:creator>
  <cp:lastModifiedBy>Arnaud</cp:lastModifiedBy>
  <cp:lastPrinted>2013-03-21T07:54:03Z</cp:lastPrinted>
  <dcterms:created xsi:type="dcterms:W3CDTF">2013-02-20T05:46:28Z</dcterms:created>
  <dcterms:modified xsi:type="dcterms:W3CDTF">2013-10-18T09:37:43Z</dcterms:modified>
</cp:coreProperties>
</file>